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10" windowWidth="13710" windowHeight="8850"/>
  </bookViews>
  <sheets>
    <sheet name="Decken LSP Rechner MG V1.03" sheetId="5" r:id="rId1"/>
    <sheet name="Tabelle1" sheetId="1" r:id="rId2"/>
    <sheet name="Tabelle2" sheetId="2" r:id="rId3"/>
    <sheet name="Tabelle3" sheetId="3" r:id="rId4"/>
  </sheets>
  <externalReferences>
    <externalReference r:id="rId5"/>
  </externalReferences>
  <definedNames>
    <definedName name="_xlnm.Print_Area" localSheetId="0">'Decken LSP Rechner MG V1.03'!$C$3:$W$25</definedName>
  </definedNames>
  <calcPr calcId="125725"/>
</workbook>
</file>

<file path=xl/calcChain.xml><?xml version="1.0" encoding="utf-8"?>
<calcChain xmlns="http://schemas.openxmlformats.org/spreadsheetml/2006/main">
  <c r="S102" i="5"/>
  <c r="R102"/>
  <c r="S101"/>
  <c r="R101"/>
  <c r="S100"/>
  <c r="R100"/>
  <c r="S99"/>
  <c r="R99"/>
  <c r="S98"/>
  <c r="R98"/>
  <c r="S97"/>
  <c r="R97"/>
  <c r="I61"/>
  <c r="C58"/>
  <c r="C59" s="1"/>
  <c r="J55"/>
  <c r="I55"/>
  <c r="J54"/>
  <c r="I54"/>
  <c r="J53"/>
  <c r="I53"/>
  <c r="C52"/>
  <c r="H41"/>
  <c r="I41" s="1"/>
  <c r="C41"/>
  <c r="C43" s="1"/>
  <c r="C44" s="1"/>
  <c r="C45" s="1"/>
  <c r="C46" s="1"/>
  <c r="M16" s="1"/>
  <c r="H40"/>
  <c r="G22"/>
  <c r="F22"/>
  <c r="G21"/>
  <c r="F20"/>
  <c r="G14"/>
  <c r="G13"/>
  <c r="G12"/>
  <c r="G11"/>
  <c r="K20" l="1"/>
  <c r="I99" s="1"/>
  <c r="J99" s="1"/>
  <c r="K99" s="1"/>
  <c r="M99" s="1"/>
  <c r="K21"/>
  <c r="J59" s="1"/>
  <c r="J67" s="1"/>
  <c r="J71" s="1"/>
  <c r="J75" s="1"/>
  <c r="J80" s="1"/>
  <c r="C61"/>
  <c r="I87" s="1"/>
  <c r="I88" s="1"/>
  <c r="H97"/>
  <c r="K18"/>
  <c r="M21"/>
  <c r="M17"/>
  <c r="M20"/>
  <c r="M19"/>
  <c r="M18"/>
  <c r="F21"/>
  <c r="H42"/>
  <c r="L18"/>
  <c r="L19"/>
  <c r="L16"/>
  <c r="L17" s="1"/>
  <c r="L20"/>
  <c r="L21" s="1"/>
  <c r="N20" l="1"/>
  <c r="K16"/>
  <c r="Q97" s="1"/>
  <c r="I59"/>
  <c r="I67" s="1"/>
  <c r="I71" s="1"/>
  <c r="I75" s="1"/>
  <c r="I80" s="1"/>
  <c r="Q99"/>
  <c r="K19"/>
  <c r="Q101" s="1"/>
  <c r="Q102"/>
  <c r="N21"/>
  <c r="K17"/>
  <c r="J57" s="1"/>
  <c r="J65" s="1"/>
  <c r="J69" s="1"/>
  <c r="J73" s="1"/>
  <c r="J78" s="1"/>
  <c r="I102"/>
  <c r="J102" s="1"/>
  <c r="K102" s="1"/>
  <c r="M102" s="1"/>
  <c r="N102" s="1"/>
  <c r="N99"/>
  <c r="Q20"/>
  <c r="I46"/>
  <c r="I50" s="1"/>
  <c r="J46"/>
  <c r="J50" s="1"/>
  <c r="I45"/>
  <c r="I49" s="1"/>
  <c r="I58"/>
  <c r="I66" s="1"/>
  <c r="I70" s="1"/>
  <c r="I74" s="1"/>
  <c r="I79" s="1"/>
  <c r="I98"/>
  <c r="J98" s="1"/>
  <c r="K98" s="1"/>
  <c r="M98" s="1"/>
  <c r="I57"/>
  <c r="I65" s="1"/>
  <c r="I69" s="1"/>
  <c r="I73" s="1"/>
  <c r="I78" s="1"/>
  <c r="N18"/>
  <c r="Q98"/>
  <c r="N16" l="1"/>
  <c r="I44"/>
  <c r="I48" s="1"/>
  <c r="I97"/>
  <c r="J97" s="1"/>
  <c r="K97" s="1"/>
  <c r="M97" s="1"/>
  <c r="Q100"/>
  <c r="I100"/>
  <c r="J100" s="1"/>
  <c r="K100" s="1"/>
  <c r="M100" s="1"/>
  <c r="Q17" s="1"/>
  <c r="J44"/>
  <c r="J48" s="1"/>
  <c r="J83" s="1"/>
  <c r="L83" s="1"/>
  <c r="N17"/>
  <c r="I101"/>
  <c r="J101" s="1"/>
  <c r="K101" s="1"/>
  <c r="M101" s="1"/>
  <c r="Q19" s="1"/>
  <c r="J45"/>
  <c r="J49" s="1"/>
  <c r="N19"/>
  <c r="J58"/>
  <c r="J66" s="1"/>
  <c r="J70" s="1"/>
  <c r="J74" s="1"/>
  <c r="J79" s="1"/>
  <c r="Q21"/>
  <c r="N98"/>
  <c r="Q18"/>
  <c r="Q16"/>
  <c r="N97"/>
  <c r="F24" s="1"/>
  <c r="G24"/>
  <c r="N55"/>
  <c r="I85"/>
  <c r="K85" s="1"/>
  <c r="J85"/>
  <c r="L85" s="1"/>
  <c r="P55"/>
  <c r="N53"/>
  <c r="I83"/>
  <c r="K83" s="1"/>
  <c r="I84"/>
  <c r="K84" s="1"/>
  <c r="N54"/>
  <c r="N100" l="1"/>
  <c r="P53"/>
  <c r="J84"/>
  <c r="L84" s="1"/>
  <c r="N101"/>
  <c r="P54"/>
  <c r="F108"/>
  <c r="G108" s="1"/>
  <c r="O16"/>
  <c r="O18" l="1"/>
  <c r="P18" s="1"/>
  <c r="O21"/>
  <c r="P21" s="1"/>
  <c r="O20"/>
  <c r="P20" s="1"/>
  <c r="O19"/>
  <c r="P19" s="1"/>
  <c r="P16"/>
  <c r="O17"/>
  <c r="P17" s="1"/>
</calcChain>
</file>

<file path=xl/comments1.xml><?xml version="1.0" encoding="utf-8"?>
<comments xmlns="http://schemas.openxmlformats.org/spreadsheetml/2006/main">
  <authors>
    <author>Jerrold Stevens</author>
    <author>Information Technology</author>
  </authors>
  <commentList>
    <comment ref="F15" authorId="0">
      <text>
        <r>
          <rPr>
            <b/>
            <sz val="8"/>
            <color indexed="81"/>
            <rFont val="Tahoma"/>
            <family val="2"/>
          </rPr>
          <t>Loudspeaker sensitivity from spec sheet</t>
        </r>
      </text>
    </comment>
    <comment ref="F16" authorId="0">
      <text>
        <r>
          <rPr>
            <b/>
            <sz val="8"/>
            <color indexed="81"/>
            <rFont val="Tahoma"/>
            <family val="2"/>
          </rPr>
          <t>Level desired @ listener</t>
        </r>
      </text>
    </comment>
    <comment ref="F17" authorId="0">
      <text>
        <r>
          <rPr>
            <b/>
            <sz val="8"/>
            <color indexed="81"/>
            <rFont val="Tahoma"/>
            <family val="2"/>
          </rPr>
          <t>From loudspeaker spec sheet</t>
        </r>
      </text>
    </comment>
    <comment ref="F20" authorId="1">
      <text>
        <r>
          <rPr>
            <b/>
            <sz val="8"/>
            <color indexed="81"/>
            <rFont val="Tahoma"/>
            <family val="2"/>
          </rPr>
          <t>Coverage radius of each loudspeaker at Ear Height.</t>
        </r>
      </text>
    </comment>
    <comment ref="F21" authorId="1">
      <text>
        <r>
          <rPr>
            <b/>
            <sz val="8"/>
            <color indexed="81"/>
            <rFont val="Tahoma"/>
            <family val="2"/>
          </rPr>
          <t>Coverage area of each loudspeaker at Ear Height.</t>
        </r>
      </text>
    </comment>
  </commentList>
</comments>
</file>

<file path=xl/sharedStrings.xml><?xml version="1.0" encoding="utf-8"?>
<sst xmlns="http://schemas.openxmlformats.org/spreadsheetml/2006/main" count="138" uniqueCount="104">
  <si>
    <t>Berechtigung für</t>
  </si>
  <si>
    <t>[Deckenlautsprecherrechner Merget Mai 2014.xlsx]Distributed Ldspk Coverage (7)</t>
  </si>
  <si>
    <t>Bereichsname</t>
  </si>
  <si>
    <t>Zellbereich</t>
  </si>
  <si>
    <t>Kennwort geschützt</t>
  </si>
  <si>
    <t>Benutzer und Gruppen</t>
  </si>
  <si>
    <t>Bearbeitung</t>
  </si>
  <si>
    <t>=$F$11:$F$17</t>
  </si>
  <si>
    <t>Nein</t>
  </si>
  <si>
    <t>-</t>
  </si>
  <si>
    <t>Deckenlautsprecher Kalkulator</t>
  </si>
  <si>
    <t>Ermittelt die Anzahl und die benötigte Eingangsleistung der LSP, mit Indikation des STI</t>
  </si>
  <si>
    <t>Eingabe</t>
  </si>
  <si>
    <t>Raum länge</t>
  </si>
  <si>
    <t>Errechnet</t>
  </si>
  <si>
    <t>Raum breite</t>
  </si>
  <si>
    <t>Decken/ Montagehöhe</t>
  </si>
  <si>
    <t>Ohrhöhe</t>
  </si>
  <si>
    <t>LSP Kennschalldruck (1W/1m)</t>
  </si>
  <si>
    <t>dB</t>
  </si>
  <si>
    <t>System</t>
  </si>
  <si>
    <t>Anordnung</t>
  </si>
  <si>
    <t>LSP Anzahl</t>
  </si>
  <si>
    <t>LSP Abstände</t>
  </si>
  <si>
    <t>Standardwerte Ansteuerleistung pro LSP (W)</t>
  </si>
  <si>
    <r>
      <t xml:space="preserve">Ansteuerleistung gemittelt </t>
    </r>
    <r>
      <rPr>
        <b/>
        <sz val="10"/>
        <color rgb="FFFF0000"/>
        <rFont val="Arial Narrow"/>
        <family val="2"/>
      </rPr>
      <t>gesamt</t>
    </r>
    <r>
      <rPr>
        <b/>
        <sz val="10"/>
        <rFont val="Arial Narrow"/>
        <family val="2"/>
      </rPr>
      <t xml:space="preserve"> (W)</t>
    </r>
  </si>
  <si>
    <t>STI Kommentar</t>
  </si>
  <si>
    <t>Direktfeld Indikation Ungleich mässigkeit (dB)</t>
  </si>
  <si>
    <t>gewünschter Pegel auf der Hörfläche</t>
  </si>
  <si>
    <t>Kante zu Kante</t>
  </si>
  <si>
    <t>für STI Berechnung: Nachhallzeit gemittelt 500Hz bis 4 kHz</t>
  </si>
  <si>
    <t>Sek</t>
  </si>
  <si>
    <t>min. Überlappung</t>
  </si>
  <si>
    <t>Center zu Center</t>
  </si>
  <si>
    <t>Radius beschallte Fläche</t>
  </si>
  <si>
    <t>m</t>
  </si>
  <si>
    <t>Kante zu Kante hexagonal</t>
  </si>
  <si>
    <t>beschallte Fläche pro LSP</t>
  </si>
  <si>
    <t>min. Überlappung hexagonal</t>
  </si>
  <si>
    <t>beschallte Fläche gesamt</t>
  </si>
  <si>
    <t>Center zu Center hexagonal</t>
  </si>
  <si>
    <t>Grad</t>
  </si>
  <si>
    <t>(StandardWerte: 0,75;1,5;3;6;15;30;60 Watt)</t>
  </si>
  <si>
    <t>STI</t>
  </si>
  <si>
    <t>Kommentar</t>
  </si>
  <si>
    <t>Ohne jede Gewähr; nur Eigenverwendung; jegliche Haftung ist ausgeschlossen</t>
  </si>
  <si>
    <t>Achtung: STI &lt; 0,5 bedeutet Normanforderung nicht erfüllt</t>
  </si>
  <si>
    <t>Q (90°)</t>
  </si>
  <si>
    <t>Hochzahl für Wirkungsgrad</t>
  </si>
  <si>
    <t>dB Verlust über Entfernung</t>
  </si>
  <si>
    <t>db</t>
  </si>
  <si>
    <t>Wirkungsgrad Einzelsystem</t>
  </si>
  <si>
    <t>Pak Einzelsystem</t>
  </si>
  <si>
    <t>Watt</t>
  </si>
  <si>
    <t>Pegel in 1m erforderlich</t>
  </si>
  <si>
    <t>rechteck</t>
  </si>
  <si>
    <t>hexa</t>
  </si>
  <si>
    <t>Pegel der absolut aufgeholt werden muss</t>
  </si>
  <si>
    <t>Pak alle Systeme diffus stationär</t>
  </si>
  <si>
    <t>kante kante</t>
  </si>
  <si>
    <t>Leistung um Diff Pegel aufzuholen</t>
  </si>
  <si>
    <t>min überlapp</t>
  </si>
  <si>
    <t>Auf Standardwerte gerechnet</t>
  </si>
  <si>
    <t>center center</t>
  </si>
  <si>
    <t>Bezugssschallleistung 10 hoch -12 diffus stationär</t>
  </si>
  <si>
    <t>rh = 0,057 mal Wurzel V/T60</t>
  </si>
  <si>
    <t>Hallradius</t>
  </si>
  <si>
    <t>Meter</t>
  </si>
  <si>
    <r>
      <t xml:space="preserve">Direktschallpegel </t>
    </r>
    <r>
      <rPr>
        <b/>
        <sz val="11"/>
        <color rgb="FFFF0000"/>
        <rFont val="Arial"/>
        <family val="2"/>
      </rPr>
      <t>gemittelt</t>
    </r>
  </si>
  <si>
    <t>Lp diffus</t>
  </si>
  <si>
    <t>Schalleistungspegel  gleich Lp plus 10log Q/4pi*r²</t>
  </si>
  <si>
    <t>Q Faktor gesamt</t>
  </si>
  <si>
    <t>Beschallungsentfernung Hörfläche</t>
  </si>
  <si>
    <t>zum Quadrat</t>
  </si>
  <si>
    <t>(r/rh)²</t>
  </si>
  <si>
    <t>4*pi*r²</t>
  </si>
  <si>
    <t>m²</t>
  </si>
  <si>
    <t xml:space="preserve">Alcons = 0,625 * T60* (r/rh)² </t>
  </si>
  <si>
    <t>Q/4pir²</t>
  </si>
  <si>
    <t>Lp diffus = Lw -10log Aquer/4m²</t>
  </si>
  <si>
    <t>log Q/4pir²</t>
  </si>
  <si>
    <t>absolut</t>
  </si>
  <si>
    <r>
      <t>Bezugssschallleistung 10 hoch -12</t>
    </r>
    <r>
      <rPr>
        <b/>
        <sz val="11"/>
        <color rgb="FFFF0000"/>
        <rFont val="Arial"/>
        <family val="2"/>
      </rPr>
      <t xml:space="preserve"> direkt</t>
    </r>
  </si>
  <si>
    <t>Alcons1</t>
  </si>
  <si>
    <t>Alcons durchschnitt über Raumdaten</t>
  </si>
  <si>
    <t>Abstand Mitte /Mitte am Boden</t>
  </si>
  <si>
    <t>Direktfaktor</t>
  </si>
  <si>
    <t>LSP 35msec</t>
  </si>
  <si>
    <t>LSP Faktor</t>
  </si>
  <si>
    <t>ALC</t>
  </si>
  <si>
    <t>Korrekturfakt.</t>
  </si>
  <si>
    <t>ALC korr</t>
  </si>
  <si>
    <t>ALC2</t>
  </si>
  <si>
    <t>Q ges</t>
  </si>
  <si>
    <t>Volumen m³</t>
  </si>
  <si>
    <t>Datum:</t>
  </si>
  <si>
    <t>Bearbeiter:</t>
  </si>
  <si>
    <t>Projekt:</t>
  </si>
  <si>
    <t>Urheber: Richard Merget Hirtengarten 7 63456 Hanau</t>
  </si>
  <si>
    <t>Anzahl</t>
  </si>
  <si>
    <r>
      <t xml:space="preserve">Indikation </t>
    </r>
    <r>
      <rPr>
        <b/>
        <sz val="12"/>
        <color rgb="FF00B050"/>
        <rFont val="Arial Narrow"/>
        <family val="2"/>
      </rPr>
      <t>bester</t>
    </r>
    <r>
      <rPr>
        <b/>
        <sz val="10"/>
        <rFont val="Arial Narrow"/>
        <family val="2"/>
      </rPr>
      <t xml:space="preserve"> flächenbezogener STI Wert</t>
    </r>
  </si>
  <si>
    <r>
      <t xml:space="preserve">Indikation </t>
    </r>
    <r>
      <rPr>
        <sz val="12"/>
        <color rgb="FFFF0000"/>
        <rFont val="Arial Narrow"/>
        <family val="2"/>
      </rPr>
      <t>schlechtester</t>
    </r>
    <r>
      <rPr>
        <b/>
        <sz val="10"/>
        <rFont val="Arial Narrow"/>
        <family val="2"/>
      </rPr>
      <t xml:space="preserve"> flächenbezogener STI Wert</t>
    </r>
  </si>
  <si>
    <r>
      <t xml:space="preserve">Indikation aufgrund der Raumdaten </t>
    </r>
    <r>
      <rPr>
        <b/>
        <sz val="14"/>
        <rFont val="Arial Narrow"/>
        <family val="2"/>
      </rPr>
      <t>max. möglicher</t>
    </r>
    <r>
      <rPr>
        <b/>
        <sz val="11"/>
        <rFont val="Arial Narrow"/>
        <family val="2"/>
      </rPr>
      <t xml:space="preserve"> </t>
    </r>
    <r>
      <rPr>
        <b/>
        <sz val="18"/>
        <rFont val="Arial Narrow"/>
        <family val="2"/>
      </rPr>
      <t>STI:</t>
    </r>
  </si>
  <si>
    <t>Abstrahlwinkel des LSP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</si>
</sst>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00"/>
    <numFmt numFmtId="166" formatCode="0.0"/>
    <numFmt numFmtId="167" formatCode="0.0000"/>
    <numFmt numFmtId="168" formatCode="0.0000000"/>
  </numFmts>
  <fonts count="38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1"/>
      <color rgb="FF008000"/>
      <name val="Arial"/>
      <family val="2"/>
    </font>
    <font>
      <b/>
      <sz val="11"/>
      <name val="Arial Narrow"/>
      <family val="2"/>
    </font>
    <font>
      <b/>
      <sz val="14"/>
      <color rgb="FF008000"/>
      <name val="Arial"/>
      <family val="2"/>
    </font>
    <font>
      <sz val="10"/>
      <name val="Arial"/>
      <family val="2"/>
    </font>
    <font>
      <b/>
      <sz val="11"/>
      <color rgb="FF0000FF"/>
      <name val="Arial"/>
      <family val="2"/>
    </font>
    <font>
      <b/>
      <sz val="11"/>
      <name val="Arial"/>
      <family val="2"/>
    </font>
    <font>
      <b/>
      <sz val="14"/>
      <color theme="1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b/>
      <sz val="16"/>
      <color rgb="FF0000FF"/>
      <name val="Arial"/>
      <family val="2"/>
    </font>
    <font>
      <b/>
      <sz val="14"/>
      <color rgb="FF0000FF"/>
      <name val="Arial"/>
      <family val="2"/>
    </font>
    <font>
      <b/>
      <sz val="14"/>
      <color rgb="FF0000FF"/>
      <name val="Arial Narrow"/>
      <family val="2"/>
    </font>
    <font>
      <b/>
      <sz val="11"/>
      <color theme="1"/>
      <name val="Arial Narrow"/>
      <family val="2"/>
    </font>
    <font>
      <b/>
      <sz val="12"/>
      <color rgb="FF0000FF"/>
      <name val="Arial"/>
      <family val="2"/>
    </font>
    <font>
      <b/>
      <sz val="18"/>
      <name val="Arial Narrow"/>
      <family val="2"/>
    </font>
    <font>
      <b/>
      <sz val="18"/>
      <color rgb="FF0000FF"/>
      <name val="Arial"/>
      <family val="2"/>
    </font>
    <font>
      <sz val="11"/>
      <color rgb="FF0000FF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u/>
      <sz val="11"/>
      <color indexed="12"/>
      <name val="Arial"/>
      <family val="2"/>
    </font>
    <font>
      <sz val="10"/>
      <name val="Arial Narrow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indexed="81"/>
      <name val="Tahoma"/>
      <family val="2"/>
    </font>
    <font>
      <sz val="10"/>
      <name val="MS Sans Serif"/>
      <family val="2"/>
    </font>
    <font>
      <b/>
      <sz val="12"/>
      <color theme="0"/>
      <name val="Arial"/>
      <family val="2"/>
    </font>
    <font>
      <sz val="12"/>
      <color rgb="FFFF0000"/>
      <name val="Arial Narrow"/>
      <family val="2"/>
    </font>
    <font>
      <b/>
      <sz val="12"/>
      <color rgb="FF00B05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2" borderId="0"/>
    <xf numFmtId="0" fontId="28" fillId="0" borderId="0" applyNumberFormat="0" applyFill="0" applyBorder="0" applyAlignment="0" applyProtection="0">
      <alignment vertical="top"/>
      <protection locked="0"/>
    </xf>
    <xf numFmtId="0" fontId="34" fillId="0" borderId="0"/>
  </cellStyleXfs>
  <cellXfs count="152">
    <xf numFmtId="0" fontId="0" fillId="0" borderId="0" xfId="0"/>
    <xf numFmtId="0" fontId="0" fillId="0" borderId="0" xfId="0" quotePrefix="1"/>
    <xf numFmtId="0" fontId="2" fillId="0" borderId="0" xfId="1" applyFill="1" applyProtection="1"/>
    <xf numFmtId="0" fontId="2" fillId="0" borderId="0" xfId="1" applyFill="1"/>
    <xf numFmtId="0" fontId="3" fillId="0" borderId="0" xfId="1" applyFont="1" applyFill="1" applyBorder="1" applyAlignment="1" applyProtection="1">
      <alignment horizontal="center"/>
    </xf>
    <xf numFmtId="0" fontId="2" fillId="0" borderId="0" xfId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2" fillId="0" borderId="0" xfId="1" applyFill="1" applyBorder="1"/>
    <xf numFmtId="0" fontId="2" fillId="0" borderId="0" xfId="1" applyFill="1" applyBorder="1" applyProtection="1"/>
    <xf numFmtId="0" fontId="2" fillId="0" borderId="0" xfId="1" applyFill="1" applyAlignment="1" applyProtection="1">
      <alignment horizontal="right"/>
    </xf>
    <xf numFmtId="0" fontId="2" fillId="0" borderId="0" xfId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0" fontId="2" fillId="0" borderId="1" xfId="1" applyFill="1" applyBorder="1"/>
    <xf numFmtId="0" fontId="2" fillId="0" borderId="2" xfId="1" applyFill="1" applyBorder="1" applyAlignment="1" applyProtection="1">
      <alignment horizontal="right"/>
    </xf>
    <xf numFmtId="0" fontId="7" fillId="0" borderId="2" xfId="1" applyFont="1" applyFill="1" applyBorder="1" applyAlignment="1" applyProtection="1">
      <alignment horizontal="right"/>
    </xf>
    <xf numFmtId="2" fontId="8" fillId="0" borderId="2" xfId="1" applyNumberFormat="1" applyFont="1" applyFill="1" applyBorder="1" applyProtection="1">
      <protection locked="0"/>
    </xf>
    <xf numFmtId="0" fontId="9" fillId="0" borderId="3" xfId="1" applyFont="1" applyFill="1" applyBorder="1" applyProtection="1"/>
    <xf numFmtId="0" fontId="10" fillId="0" borderId="0" xfId="1" applyFont="1" applyFill="1" applyAlignment="1">
      <alignment horizontal="center"/>
    </xf>
    <xf numFmtId="0" fontId="2" fillId="0" borderId="4" xfId="1" applyFill="1" applyBorder="1"/>
    <xf numFmtId="0" fontId="2" fillId="0" borderId="0" xfId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right"/>
    </xf>
    <xf numFmtId="2" fontId="8" fillId="0" borderId="0" xfId="1" applyNumberFormat="1" applyFont="1" applyFill="1" applyBorder="1" applyProtection="1">
      <protection locked="0"/>
    </xf>
    <xf numFmtId="0" fontId="9" fillId="0" borderId="5" xfId="1" applyFont="1" applyFill="1" applyBorder="1" applyProtection="1"/>
    <xf numFmtId="0" fontId="2" fillId="0" borderId="0" xfId="1" applyFont="1" applyFill="1" applyBorder="1"/>
    <xf numFmtId="0" fontId="2" fillId="0" borderId="0" xfId="1" applyFill="1" applyBorder="1" applyAlignment="1" applyProtection="1">
      <alignment vertical="center"/>
    </xf>
    <xf numFmtId="0" fontId="11" fillId="0" borderId="0" xfId="1" applyFont="1" applyFill="1" applyAlignment="1">
      <alignment horizontal="center"/>
    </xf>
    <xf numFmtId="0" fontId="12" fillId="0" borderId="1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2" fontId="3" fillId="0" borderId="6" xfId="1" applyNumberFormat="1" applyFont="1" applyFill="1" applyBorder="1" applyAlignment="1" applyProtection="1">
      <alignment horizontal="center" vertical="center"/>
    </xf>
    <xf numFmtId="0" fontId="2" fillId="0" borderId="0" xfId="1" applyFill="1" applyBorder="1" applyAlignment="1">
      <alignment vertical="center"/>
    </xf>
    <xf numFmtId="0" fontId="16" fillId="0" borderId="5" xfId="1" applyFont="1" applyFill="1" applyBorder="1" applyProtection="1"/>
    <xf numFmtId="0" fontId="17" fillId="0" borderId="7" xfId="1" applyFont="1" applyFill="1" applyBorder="1" applyAlignment="1" applyProtection="1">
      <alignment horizontal="right" vertical="center" wrapText="1"/>
    </xf>
    <xf numFmtId="0" fontId="2" fillId="0" borderId="6" xfId="1" applyFill="1" applyBorder="1"/>
    <xf numFmtId="1" fontId="18" fillId="0" borderId="6" xfId="1" applyNumberFormat="1" applyFont="1" applyFill="1" applyBorder="1" applyAlignment="1" applyProtection="1">
      <alignment horizontal="center" vertical="center"/>
    </xf>
    <xf numFmtId="2" fontId="18" fillId="0" borderId="6" xfId="1" applyNumberFormat="1" applyFont="1" applyFill="1" applyBorder="1" applyAlignment="1" applyProtection="1">
      <alignment horizontal="center" vertical="center"/>
    </xf>
    <xf numFmtId="2" fontId="19" fillId="0" borderId="6" xfId="1" applyNumberFormat="1" applyFont="1" applyFill="1" applyBorder="1" applyAlignment="1" applyProtection="1">
      <alignment horizontal="center" vertical="center"/>
    </xf>
    <xf numFmtId="0" fontId="20" fillId="3" borderId="8" xfId="1" applyFont="1" applyFill="1" applyBorder="1" applyAlignment="1">
      <alignment horizontal="center" vertical="center" wrapText="1"/>
    </xf>
    <xf numFmtId="2" fontId="19" fillId="0" borderId="8" xfId="1" applyNumberFormat="1" applyFont="1" applyFill="1" applyBorder="1" applyAlignment="1" applyProtection="1">
      <alignment horizontal="center" vertical="center"/>
    </xf>
    <xf numFmtId="1" fontId="3" fillId="0" borderId="6" xfId="1" applyNumberFormat="1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Protection="1"/>
    <xf numFmtId="0" fontId="21" fillId="0" borderId="2" xfId="1" applyFont="1" applyFill="1" applyBorder="1" applyAlignment="1" applyProtection="1">
      <alignment horizontal="right"/>
    </xf>
    <xf numFmtId="2" fontId="19" fillId="0" borderId="9" xfId="1" applyNumberFormat="1" applyFont="1" applyFill="1" applyBorder="1" applyAlignment="1" applyProtection="1">
      <alignment horizontal="center"/>
    </xf>
    <xf numFmtId="0" fontId="1" fillId="0" borderId="10" xfId="1" applyFont="1" applyFill="1" applyBorder="1" applyProtection="1"/>
    <xf numFmtId="0" fontId="9" fillId="0" borderId="4" xfId="1" applyFont="1" applyFill="1" applyBorder="1" applyProtection="1"/>
    <xf numFmtId="2" fontId="19" fillId="0" borderId="6" xfId="1" applyNumberFormat="1" applyFont="1" applyFill="1" applyBorder="1" applyAlignment="1" applyProtection="1">
      <alignment horizontal="center"/>
    </xf>
    <xf numFmtId="0" fontId="9" fillId="0" borderId="8" xfId="1" applyFont="1" applyFill="1" applyBorder="1" applyProtection="1"/>
    <xf numFmtId="0" fontId="17" fillId="0" borderId="11" xfId="1" applyFont="1" applyFill="1" applyBorder="1" applyAlignment="1" applyProtection="1">
      <alignment horizontal="center" vertical="center" wrapText="1"/>
    </xf>
    <xf numFmtId="0" fontId="2" fillId="0" borderId="12" xfId="1" applyFill="1" applyBorder="1"/>
    <xf numFmtId="1" fontId="18" fillId="0" borderId="12" xfId="1" applyNumberFormat="1" applyFont="1" applyFill="1" applyBorder="1" applyAlignment="1" applyProtection="1">
      <alignment horizontal="center" vertical="center"/>
    </xf>
    <xf numFmtId="2" fontId="18" fillId="0" borderId="12" xfId="1" applyNumberFormat="1" applyFont="1" applyFill="1" applyBorder="1" applyAlignment="1" applyProtection="1">
      <alignment horizontal="center" vertical="center"/>
    </xf>
    <xf numFmtId="2" fontId="19" fillId="0" borderId="12" xfId="1" applyNumberFormat="1" applyFont="1" applyFill="1" applyBorder="1" applyAlignment="1" applyProtection="1">
      <alignment horizontal="center" vertical="center"/>
    </xf>
    <xf numFmtId="0" fontId="20" fillId="3" borderId="13" xfId="1" applyFont="1" applyFill="1" applyBorder="1" applyAlignment="1">
      <alignment horizontal="center" vertical="center" wrapText="1"/>
    </xf>
    <xf numFmtId="2" fontId="19" fillId="0" borderId="13" xfId="1" applyNumberFormat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horizontal="right"/>
    </xf>
    <xf numFmtId="1" fontId="3" fillId="0" borderId="0" xfId="1" applyNumberFormat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right" vertical="center" wrapText="1"/>
    </xf>
    <xf numFmtId="0" fontId="3" fillId="0" borderId="0" xfId="1" applyFont="1" applyFill="1" applyAlignment="1">
      <alignment horizontal="center"/>
    </xf>
    <xf numFmtId="2" fontId="22" fillId="0" borderId="0" xfId="1" applyNumberFormat="1" applyFont="1" applyFill="1" applyBorder="1" applyAlignment="1" applyProtection="1">
      <alignment horizontal="center" vertical="center"/>
    </xf>
    <xf numFmtId="2" fontId="19" fillId="0" borderId="0" xfId="1" applyNumberFormat="1" applyFont="1" applyFill="1" applyBorder="1" applyAlignment="1" applyProtection="1">
      <alignment horizontal="center" vertical="center"/>
    </xf>
    <xf numFmtId="1" fontId="19" fillId="0" borderId="0" xfId="1" applyNumberFormat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/>
    </xf>
    <xf numFmtId="2" fontId="24" fillId="0" borderId="16" xfId="1" applyNumberFormat="1" applyFont="1" applyFill="1" applyBorder="1" applyAlignment="1">
      <alignment horizontal="center" vertical="center"/>
    </xf>
    <xf numFmtId="0" fontId="12" fillId="3" borderId="16" xfId="1" applyFont="1" applyFill="1" applyBorder="1" applyAlignment="1">
      <alignment horizontal="center" vertical="center" wrapText="1"/>
    </xf>
    <xf numFmtId="1" fontId="22" fillId="0" borderId="0" xfId="1" applyNumberFormat="1" applyFont="1" applyFill="1" applyBorder="1" applyAlignment="1" applyProtection="1">
      <alignment horizontal="left" vertical="center"/>
    </xf>
    <xf numFmtId="0" fontId="25" fillId="0" borderId="0" xfId="1" applyFont="1" applyFill="1" applyBorder="1" applyAlignment="1">
      <alignment vertical="center"/>
    </xf>
    <xf numFmtId="0" fontId="10" fillId="0" borderId="0" xfId="1" applyFont="1" applyFill="1"/>
    <xf numFmtId="1" fontId="26" fillId="0" borderId="0" xfId="1" applyNumberFormat="1" applyFont="1" applyFill="1" applyBorder="1" applyAlignment="1" applyProtection="1">
      <alignment horizontal="center"/>
    </xf>
    <xf numFmtId="1" fontId="26" fillId="0" borderId="0" xfId="1" applyNumberFormat="1" applyFont="1" applyFill="1" applyBorder="1" applyAlignment="1" applyProtection="1">
      <alignment vertical="center"/>
    </xf>
    <xf numFmtId="0" fontId="27" fillId="0" borderId="0" xfId="1" applyFont="1" applyFill="1" applyBorder="1" applyAlignment="1" applyProtection="1">
      <alignment vertical="center"/>
    </xf>
    <xf numFmtId="0" fontId="28" fillId="0" borderId="0" xfId="2" applyFill="1" applyBorder="1" applyAlignment="1" applyProtection="1">
      <alignment horizontal="center"/>
    </xf>
    <xf numFmtId="0" fontId="29" fillId="0" borderId="0" xfId="1" applyFont="1" applyFill="1" applyBorder="1" applyAlignment="1" applyProtection="1">
      <alignment horizontal="center" vertical="center" wrapText="1"/>
    </xf>
    <xf numFmtId="0" fontId="30" fillId="0" borderId="0" xfId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164" fontId="2" fillId="0" borderId="0" xfId="1" applyNumberFormat="1" applyFill="1" applyProtection="1"/>
    <xf numFmtId="165" fontId="30" fillId="0" borderId="0" xfId="1" applyNumberFormat="1" applyFont="1" applyFill="1" applyBorder="1" applyAlignment="1" applyProtection="1">
      <alignment horizontal="right"/>
    </xf>
    <xf numFmtId="0" fontId="31" fillId="0" borderId="0" xfId="1" applyFont="1" applyFill="1" applyBorder="1" applyAlignment="1" applyProtection="1">
      <alignment horizontal="right"/>
    </xf>
    <xf numFmtId="1" fontId="31" fillId="0" borderId="0" xfId="1" applyNumberFormat="1" applyFont="1" applyFill="1" applyBorder="1" applyAlignment="1" applyProtection="1">
      <alignment horizontal="center"/>
    </xf>
    <xf numFmtId="0" fontId="30" fillId="0" borderId="0" xfId="1" applyFont="1" applyFill="1" applyBorder="1" applyAlignment="1" applyProtection="1">
      <alignment horizontal="left"/>
    </xf>
    <xf numFmtId="10" fontId="30" fillId="0" borderId="0" xfId="1" applyNumberFormat="1" applyFont="1" applyFill="1" applyBorder="1" applyAlignment="1" applyProtection="1">
      <alignment horizontal="right"/>
    </xf>
    <xf numFmtId="0" fontId="2" fillId="0" borderId="0" xfId="1" applyFill="1" applyAlignment="1">
      <alignment horizontal="left"/>
    </xf>
    <xf numFmtId="10" fontId="30" fillId="0" borderId="0" xfId="1" applyNumberFormat="1" applyFont="1" applyFill="1" applyBorder="1" applyAlignment="1" applyProtection="1">
      <alignment horizontal="center"/>
    </xf>
    <xf numFmtId="2" fontId="30" fillId="0" borderId="0" xfId="1" applyNumberFormat="1" applyFont="1" applyFill="1" applyBorder="1" applyAlignment="1" applyProtection="1">
      <alignment horizontal="right"/>
    </xf>
    <xf numFmtId="0" fontId="2" fillId="0" borderId="0" xfId="1" applyFont="1" applyFill="1" applyProtection="1"/>
    <xf numFmtId="166" fontId="30" fillId="0" borderId="0" xfId="1" applyNumberFormat="1" applyFont="1" applyFill="1" applyBorder="1" applyAlignment="1" applyProtection="1">
      <alignment horizontal="center"/>
    </xf>
    <xf numFmtId="2" fontId="25" fillId="0" borderId="0" xfId="1" applyNumberFormat="1" applyFont="1" applyFill="1" applyBorder="1" applyAlignment="1" applyProtection="1">
      <alignment horizontal="right"/>
    </xf>
    <xf numFmtId="0" fontId="2" fillId="0" borderId="0" xfId="1" applyFont="1" applyFill="1" applyBorder="1" applyAlignment="1" applyProtection="1">
      <alignment horizontal="right"/>
    </xf>
    <xf numFmtId="0" fontId="25" fillId="0" borderId="0" xfId="1" applyFont="1" applyFill="1" applyProtection="1"/>
    <xf numFmtId="2" fontId="25" fillId="0" borderId="0" xfId="1" applyNumberFormat="1" applyFont="1" applyFill="1" applyAlignment="1" applyProtection="1">
      <alignment horizontal="center"/>
    </xf>
    <xf numFmtId="167" fontId="30" fillId="0" borderId="0" xfId="1" applyNumberFormat="1" applyFont="1" applyFill="1" applyBorder="1" applyAlignment="1" applyProtection="1">
      <alignment horizontal="right"/>
    </xf>
    <xf numFmtId="0" fontId="25" fillId="0" borderId="0" xfId="1" applyFont="1" applyFill="1" applyBorder="1" applyAlignment="1" applyProtection="1">
      <alignment horizontal="right"/>
    </xf>
    <xf numFmtId="0" fontId="2" fillId="0" borderId="0" xfId="1" applyFont="1" applyFill="1"/>
    <xf numFmtId="168" fontId="30" fillId="0" borderId="0" xfId="1" applyNumberFormat="1" applyFont="1" applyFill="1" applyBorder="1" applyAlignment="1" applyProtection="1">
      <alignment horizontal="right"/>
    </xf>
    <xf numFmtId="2" fontId="2" fillId="0" borderId="0" xfId="1" applyNumberFormat="1" applyFill="1"/>
    <xf numFmtId="10" fontId="25" fillId="0" borderId="0" xfId="1" applyNumberFormat="1" applyFont="1" applyFill="1" applyBorder="1" applyAlignment="1" applyProtection="1">
      <alignment horizontal="right"/>
    </xf>
    <xf numFmtId="2" fontId="11" fillId="0" borderId="6" xfId="1" applyNumberFormat="1" applyFont="1" applyFill="1" applyBorder="1" applyAlignment="1" applyProtection="1">
      <alignment horizontal="center"/>
    </xf>
    <xf numFmtId="0" fontId="2" fillId="0" borderId="0" xfId="1" applyFont="1" applyFill="1" applyAlignment="1" applyProtection="1">
      <alignment horizontal="right"/>
    </xf>
    <xf numFmtId="0" fontId="11" fillId="0" borderId="0" xfId="1" applyFont="1" applyFill="1" applyProtection="1"/>
    <xf numFmtId="2" fontId="11" fillId="0" borderId="0" xfId="1" applyNumberFormat="1" applyFont="1" applyFill="1" applyProtection="1"/>
    <xf numFmtId="2" fontId="2" fillId="0" borderId="0" xfId="1" applyNumberFormat="1" applyFill="1" applyProtection="1"/>
    <xf numFmtId="0" fontId="2" fillId="0" borderId="0" xfId="1" applyFill="1" applyAlignment="1" applyProtection="1">
      <alignment horizontal="center"/>
    </xf>
    <xf numFmtId="10" fontId="2" fillId="0" borderId="0" xfId="1" applyNumberFormat="1" applyFont="1" applyFill="1" applyAlignment="1">
      <alignment horizontal="center"/>
    </xf>
    <xf numFmtId="0" fontId="2" fillId="0" borderId="0" xfId="1" applyFont="1" applyFill="1" applyAlignment="1" applyProtection="1">
      <alignment horizontal="center"/>
    </xf>
    <xf numFmtId="2" fontId="2" fillId="0" borderId="0" xfId="1" applyNumberFormat="1" applyFill="1" applyAlignment="1">
      <alignment horizontal="center"/>
    </xf>
    <xf numFmtId="2" fontId="2" fillId="0" borderId="0" xfId="1" applyNumberFormat="1" applyFill="1" applyBorder="1" applyAlignment="1" applyProtection="1">
      <alignment horizontal="center"/>
    </xf>
    <xf numFmtId="0" fontId="2" fillId="0" borderId="0" xfId="1" applyFill="1" applyAlignment="1">
      <alignment horizontal="center"/>
    </xf>
    <xf numFmtId="164" fontId="2" fillId="0" borderId="0" xfId="1" applyNumberFormat="1" applyFill="1" applyAlignment="1">
      <alignment horizontal="center"/>
    </xf>
    <xf numFmtId="10" fontId="2" fillId="0" borderId="0" xfId="1" applyNumberFormat="1" applyFill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2" fontId="2" fillId="0" borderId="0" xfId="1" applyNumberFormat="1" applyFill="1" applyAlignment="1" applyProtection="1">
      <alignment horizontal="center"/>
    </xf>
    <xf numFmtId="10" fontId="2" fillId="0" borderId="0" xfId="1" applyNumberFormat="1" applyFill="1"/>
    <xf numFmtId="1" fontId="35" fillId="0" borderId="0" xfId="1" applyNumberFormat="1" applyFont="1" applyFill="1" applyBorder="1" applyAlignment="1" applyProtection="1">
      <alignment horizontal="left" vertical="center"/>
    </xf>
    <xf numFmtId="2" fontId="25" fillId="4" borderId="0" xfId="1" applyNumberFormat="1" applyFont="1" applyFill="1" applyBorder="1" applyAlignment="1" applyProtection="1">
      <alignment horizontal="right"/>
    </xf>
    <xf numFmtId="0" fontId="2" fillId="5" borderId="0" xfId="1" applyFill="1" applyProtection="1"/>
    <xf numFmtId="2" fontId="30" fillId="6" borderId="0" xfId="1" applyNumberFormat="1" applyFont="1" applyFill="1" applyBorder="1" applyAlignment="1" applyProtection="1">
      <alignment horizontal="right"/>
    </xf>
    <xf numFmtId="10" fontId="10" fillId="0" borderId="0" xfId="1" applyNumberFormat="1" applyFont="1" applyFill="1" applyBorder="1" applyAlignment="1" applyProtection="1">
      <alignment horizontal="center"/>
    </xf>
    <xf numFmtId="0" fontId="11" fillId="0" borderId="0" xfId="1" applyFont="1" applyFill="1" applyAlignment="1" applyProtection="1">
      <alignment horizontal="right"/>
    </xf>
    <xf numFmtId="2" fontId="11" fillId="0" borderId="0" xfId="1" applyNumberFormat="1" applyFont="1" applyFill="1" applyAlignment="1" applyProtection="1">
      <alignment horizontal="center"/>
    </xf>
    <xf numFmtId="1" fontId="11" fillId="0" borderId="6" xfId="1" applyNumberFormat="1" applyFont="1" applyFill="1" applyBorder="1" applyAlignment="1" applyProtection="1">
      <alignment horizontal="center"/>
    </xf>
    <xf numFmtId="0" fontId="2" fillId="5" borderId="0" xfId="1" applyFill="1" applyAlignment="1">
      <alignment horizontal="center"/>
    </xf>
    <xf numFmtId="0" fontId="2" fillId="5" borderId="0" xfId="1" applyFill="1"/>
    <xf numFmtId="0" fontId="2" fillId="5" borderId="0" xfId="1" applyFont="1" applyFill="1" applyProtection="1"/>
    <xf numFmtId="0" fontId="11" fillId="5" borderId="0" xfId="1" applyFont="1" applyFill="1" applyAlignment="1">
      <alignment horizontal="center"/>
    </xf>
    <xf numFmtId="2" fontId="11" fillId="5" borderId="0" xfId="1" applyNumberFormat="1" applyFont="1" applyFill="1" applyBorder="1" applyAlignment="1" applyProtection="1">
      <alignment horizontal="center"/>
    </xf>
    <xf numFmtId="0" fontId="2" fillId="5" borderId="0" xfId="1" applyFont="1" applyFill="1"/>
    <xf numFmtId="0" fontId="2" fillId="5" borderId="0" xfId="1" applyFont="1" applyFill="1" applyAlignment="1">
      <alignment horizontal="center"/>
    </xf>
    <xf numFmtId="0" fontId="11" fillId="5" borderId="0" xfId="1" applyFont="1" applyFill="1" applyAlignment="1" applyProtection="1">
      <alignment horizontal="center"/>
    </xf>
    <xf numFmtId="1" fontId="11" fillId="5" borderId="6" xfId="1" applyNumberFormat="1" applyFont="1" applyFill="1" applyBorder="1" applyAlignment="1" applyProtection="1">
      <alignment horizontal="center"/>
    </xf>
    <xf numFmtId="2" fontId="2" fillId="5" borderId="0" xfId="1" applyNumberFormat="1" applyFill="1" applyAlignment="1">
      <alignment horizontal="center"/>
    </xf>
    <xf numFmtId="2" fontId="2" fillId="5" borderId="0" xfId="1" applyNumberFormat="1" applyFill="1" applyBorder="1" applyAlignment="1" applyProtection="1">
      <alignment horizontal="center"/>
    </xf>
    <xf numFmtId="164" fontId="2" fillId="5" borderId="0" xfId="1" applyNumberFormat="1" applyFill="1" applyAlignment="1">
      <alignment horizontal="center"/>
    </xf>
    <xf numFmtId="10" fontId="10" fillId="0" borderId="0" xfId="1" applyNumberFormat="1" applyFont="1" applyFill="1" applyBorder="1" applyAlignment="1" applyProtection="1">
      <alignment horizontal="right"/>
    </xf>
    <xf numFmtId="10" fontId="32" fillId="0" borderId="0" xfId="1" applyNumberFormat="1" applyFont="1" applyFill="1" applyProtection="1"/>
    <xf numFmtId="2" fontId="19" fillId="0" borderId="17" xfId="1" applyNumberFormat="1" applyFont="1" applyFill="1" applyBorder="1" applyAlignment="1" applyProtection="1">
      <alignment horizontal="center" vertical="center"/>
    </xf>
    <xf numFmtId="1" fontId="19" fillId="0" borderId="8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2" fillId="0" borderId="14" xfId="1" applyFill="1" applyBorder="1"/>
    <xf numFmtId="0" fontId="7" fillId="0" borderId="15" xfId="1" applyFont="1" applyFill="1" applyBorder="1" applyAlignment="1" applyProtection="1">
      <alignment horizontal="center" vertical="center" wrapText="1"/>
    </xf>
    <xf numFmtId="2" fontId="8" fillId="0" borderId="15" xfId="1" applyNumberFormat="1" applyFont="1" applyFill="1" applyBorder="1" applyProtection="1">
      <protection locked="0"/>
    </xf>
    <xf numFmtId="0" fontId="2" fillId="0" borderId="18" xfId="1" applyFont="1" applyFill="1" applyBorder="1"/>
    <xf numFmtId="0" fontId="16" fillId="0" borderId="15" xfId="1" applyFont="1" applyFill="1" applyBorder="1" applyProtection="1"/>
    <xf numFmtId="0" fontId="16" fillId="0" borderId="18" xfId="1" applyFont="1" applyFill="1" applyBorder="1" applyProtection="1"/>
    <xf numFmtId="0" fontId="9" fillId="0" borderId="14" xfId="1" applyFont="1" applyFill="1" applyBorder="1" applyProtection="1"/>
    <xf numFmtId="2" fontId="19" fillId="0" borderId="12" xfId="1" applyNumberFormat="1" applyFont="1" applyFill="1" applyBorder="1" applyAlignment="1" applyProtection="1">
      <alignment horizontal="center"/>
    </xf>
    <xf numFmtId="0" fontId="9" fillId="0" borderId="13" xfId="1" applyFont="1" applyFill="1" applyBorder="1" applyProtection="1"/>
  </cellXfs>
  <cellStyles count="4">
    <cellStyle name="Hyperlink" xfId="2" builtinId="8"/>
    <cellStyle name="Normal_ALPHA" xfId="3"/>
    <cellStyle name="Standard" xfId="0" builtinId="0"/>
    <cellStyle name="Standard 2" xfId="1"/>
  </cellStyles>
  <dxfs count="5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2863D8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26FA58"/>
        </patternFill>
      </fill>
    </dxf>
    <dxf>
      <font>
        <b/>
        <i val="0"/>
        <color rgb="FFFFFF0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158154</xdr:colOff>
      <xdr:row>16</xdr:row>
      <xdr:rowOff>58196</xdr:rowOff>
    </xdr:from>
    <xdr:to>
      <xdr:col>9</xdr:col>
      <xdr:colOff>928688</xdr:colOff>
      <xdr:row>16</xdr:row>
      <xdr:rowOff>523876</xdr:rowOff>
    </xdr:to>
    <xdr:grpSp>
      <xdr:nvGrpSpPr>
        <xdr:cNvPr id="2" name="Gruppieren 1"/>
        <xdr:cNvGrpSpPr/>
      </xdr:nvGrpSpPr>
      <xdr:grpSpPr>
        <a:xfrm>
          <a:off x="8708503" y="4322295"/>
          <a:ext cx="770534" cy="465680"/>
          <a:chOff x="4572001" y="4286250"/>
          <a:chExt cx="674076" cy="644771"/>
        </a:xfrm>
        <a:solidFill>
          <a:srgbClr val="008000"/>
        </a:solidFill>
      </xdr:grpSpPr>
      <xdr:grpSp>
        <xdr:nvGrpSpPr>
          <xdr:cNvPr id="3" name="Gruppieren 20"/>
          <xdr:cNvGrpSpPr/>
        </xdr:nvGrpSpPr>
        <xdr:grpSpPr>
          <a:xfrm>
            <a:off x="4572001" y="4286250"/>
            <a:ext cx="315058" cy="278423"/>
            <a:chOff x="5114192" y="4645269"/>
            <a:chExt cx="468923" cy="468923"/>
          </a:xfrm>
          <a:grpFill/>
        </xdr:grpSpPr>
        <xdr:sp macro="" textlink="">
          <xdr:nvSpPr>
            <xdr:cNvPr id="13" name="Ellipse 12"/>
            <xdr:cNvSpPr/>
          </xdr:nvSpPr>
          <xdr:spPr>
            <a:xfrm>
              <a:off x="5114192" y="4645269"/>
              <a:ext cx="468923" cy="468923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14" name="Ellipse 13"/>
            <xdr:cNvSpPr/>
          </xdr:nvSpPr>
          <xdr:spPr>
            <a:xfrm>
              <a:off x="5282711" y="4799135"/>
              <a:ext cx="146539" cy="139211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</xdr:grpSp>
      <xdr:grpSp>
        <xdr:nvGrpSpPr>
          <xdr:cNvPr id="4" name="Gruppieren 23"/>
          <xdr:cNvGrpSpPr/>
        </xdr:nvGrpSpPr>
        <xdr:grpSpPr>
          <a:xfrm>
            <a:off x="4623290" y="4564673"/>
            <a:ext cx="315058" cy="278423"/>
            <a:chOff x="5114192" y="4645269"/>
            <a:chExt cx="468923" cy="468923"/>
          </a:xfrm>
          <a:grpFill/>
        </xdr:grpSpPr>
        <xdr:sp macro="" textlink="">
          <xdr:nvSpPr>
            <xdr:cNvPr id="11" name="Ellipse 10"/>
            <xdr:cNvSpPr/>
          </xdr:nvSpPr>
          <xdr:spPr>
            <a:xfrm>
              <a:off x="5114192" y="4645269"/>
              <a:ext cx="468923" cy="468923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12" name="Ellipse 11"/>
            <xdr:cNvSpPr/>
          </xdr:nvSpPr>
          <xdr:spPr>
            <a:xfrm>
              <a:off x="5282711" y="4799135"/>
              <a:ext cx="146539" cy="139211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</xdr:grpSp>
      <xdr:grpSp>
        <xdr:nvGrpSpPr>
          <xdr:cNvPr id="5" name="Gruppieren 26"/>
          <xdr:cNvGrpSpPr/>
        </xdr:nvGrpSpPr>
        <xdr:grpSpPr>
          <a:xfrm>
            <a:off x="4887060" y="4381501"/>
            <a:ext cx="315058" cy="278423"/>
            <a:chOff x="5114192" y="4645269"/>
            <a:chExt cx="468923" cy="468923"/>
          </a:xfrm>
          <a:grpFill/>
        </xdr:grpSpPr>
        <xdr:sp macro="" textlink="">
          <xdr:nvSpPr>
            <xdr:cNvPr id="9" name="Ellipse 8"/>
            <xdr:cNvSpPr/>
          </xdr:nvSpPr>
          <xdr:spPr>
            <a:xfrm>
              <a:off x="5114192" y="4645269"/>
              <a:ext cx="468923" cy="468923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10" name="Ellipse 9"/>
            <xdr:cNvSpPr/>
          </xdr:nvSpPr>
          <xdr:spPr>
            <a:xfrm>
              <a:off x="5282711" y="4799135"/>
              <a:ext cx="146539" cy="139211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</xdr:grpSp>
      <xdr:grpSp>
        <xdr:nvGrpSpPr>
          <xdr:cNvPr id="6" name="Gruppieren 29"/>
          <xdr:cNvGrpSpPr/>
        </xdr:nvGrpSpPr>
        <xdr:grpSpPr>
          <a:xfrm>
            <a:off x="4931019" y="4652598"/>
            <a:ext cx="315058" cy="278423"/>
            <a:chOff x="5114192" y="4645269"/>
            <a:chExt cx="468923" cy="468923"/>
          </a:xfrm>
          <a:grpFill/>
        </xdr:grpSpPr>
        <xdr:sp macro="" textlink="">
          <xdr:nvSpPr>
            <xdr:cNvPr id="7" name="Ellipse 6"/>
            <xdr:cNvSpPr/>
          </xdr:nvSpPr>
          <xdr:spPr>
            <a:xfrm>
              <a:off x="5114192" y="4645269"/>
              <a:ext cx="468923" cy="468923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8" name="Ellipse 7"/>
            <xdr:cNvSpPr/>
          </xdr:nvSpPr>
          <xdr:spPr>
            <a:xfrm>
              <a:off x="5282711" y="4799135"/>
              <a:ext cx="146539" cy="139211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</xdr:grpSp>
    </xdr:grpSp>
    <xdr:clientData/>
  </xdr:twoCellAnchor>
  <xdr:twoCellAnchor>
    <xdr:from>
      <xdr:col>9</xdr:col>
      <xdr:colOff>173883</xdr:colOff>
      <xdr:row>17</xdr:row>
      <xdr:rowOff>47625</xdr:rowOff>
    </xdr:from>
    <xdr:to>
      <xdr:col>9</xdr:col>
      <xdr:colOff>845343</xdr:colOff>
      <xdr:row>17</xdr:row>
      <xdr:rowOff>583406</xdr:rowOff>
    </xdr:to>
    <xdr:grpSp>
      <xdr:nvGrpSpPr>
        <xdr:cNvPr id="15" name="Gruppieren 14"/>
        <xdr:cNvGrpSpPr/>
      </xdr:nvGrpSpPr>
      <xdr:grpSpPr>
        <a:xfrm>
          <a:off x="8724232" y="4865503"/>
          <a:ext cx="671460" cy="535781"/>
          <a:chOff x="5817579" y="4271598"/>
          <a:chExt cx="578827" cy="534865"/>
        </a:xfrm>
        <a:solidFill>
          <a:srgbClr val="00B0F0"/>
        </a:solidFill>
      </xdr:grpSpPr>
      <xdr:grpSp>
        <xdr:nvGrpSpPr>
          <xdr:cNvPr id="16" name="Gruppieren 32"/>
          <xdr:cNvGrpSpPr/>
        </xdr:nvGrpSpPr>
        <xdr:grpSpPr>
          <a:xfrm>
            <a:off x="5817579" y="4271598"/>
            <a:ext cx="315058" cy="278423"/>
            <a:chOff x="5114192" y="4645269"/>
            <a:chExt cx="468923" cy="468923"/>
          </a:xfrm>
          <a:grpFill/>
        </xdr:grpSpPr>
        <xdr:sp macro="" textlink="">
          <xdr:nvSpPr>
            <xdr:cNvPr id="26" name="Ellipse 25"/>
            <xdr:cNvSpPr/>
          </xdr:nvSpPr>
          <xdr:spPr>
            <a:xfrm>
              <a:off x="5114192" y="4645269"/>
              <a:ext cx="468923" cy="468923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27" name="Ellipse 26"/>
            <xdr:cNvSpPr/>
          </xdr:nvSpPr>
          <xdr:spPr>
            <a:xfrm>
              <a:off x="5282711" y="4799135"/>
              <a:ext cx="146539" cy="139211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</xdr:grpSp>
      <xdr:grpSp>
        <xdr:nvGrpSpPr>
          <xdr:cNvPr id="17" name="Gruppieren 35"/>
          <xdr:cNvGrpSpPr/>
        </xdr:nvGrpSpPr>
        <xdr:grpSpPr>
          <a:xfrm>
            <a:off x="5817579" y="4520713"/>
            <a:ext cx="315058" cy="278423"/>
            <a:chOff x="5114192" y="4645269"/>
            <a:chExt cx="468923" cy="468923"/>
          </a:xfrm>
          <a:grpFill/>
        </xdr:grpSpPr>
        <xdr:sp macro="" textlink="">
          <xdr:nvSpPr>
            <xdr:cNvPr id="24" name="Ellipse 23"/>
            <xdr:cNvSpPr/>
          </xdr:nvSpPr>
          <xdr:spPr>
            <a:xfrm>
              <a:off x="5114192" y="4645269"/>
              <a:ext cx="468923" cy="468923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25" name="Ellipse 24"/>
            <xdr:cNvSpPr/>
          </xdr:nvSpPr>
          <xdr:spPr>
            <a:xfrm>
              <a:off x="5282711" y="4799135"/>
              <a:ext cx="146539" cy="139211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</xdr:grpSp>
      <xdr:grpSp>
        <xdr:nvGrpSpPr>
          <xdr:cNvPr id="18" name="Gruppieren 38"/>
          <xdr:cNvGrpSpPr/>
        </xdr:nvGrpSpPr>
        <xdr:grpSpPr>
          <a:xfrm>
            <a:off x="6081348" y="4278925"/>
            <a:ext cx="315058" cy="278423"/>
            <a:chOff x="5114192" y="4645269"/>
            <a:chExt cx="468923" cy="468923"/>
          </a:xfrm>
          <a:grpFill/>
        </xdr:grpSpPr>
        <xdr:sp macro="" textlink="">
          <xdr:nvSpPr>
            <xdr:cNvPr id="22" name="Ellipse 21"/>
            <xdr:cNvSpPr/>
          </xdr:nvSpPr>
          <xdr:spPr>
            <a:xfrm>
              <a:off x="5114192" y="4645269"/>
              <a:ext cx="468923" cy="468923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23" name="Ellipse 22"/>
            <xdr:cNvSpPr/>
          </xdr:nvSpPr>
          <xdr:spPr>
            <a:xfrm>
              <a:off x="5282711" y="4799135"/>
              <a:ext cx="146539" cy="139211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</xdr:grpSp>
      <xdr:grpSp>
        <xdr:nvGrpSpPr>
          <xdr:cNvPr id="19" name="Gruppieren 41"/>
          <xdr:cNvGrpSpPr/>
        </xdr:nvGrpSpPr>
        <xdr:grpSpPr>
          <a:xfrm>
            <a:off x="6081348" y="4528040"/>
            <a:ext cx="315058" cy="278423"/>
            <a:chOff x="5114192" y="4645269"/>
            <a:chExt cx="468923" cy="468923"/>
          </a:xfrm>
          <a:grpFill/>
        </xdr:grpSpPr>
        <xdr:sp macro="" textlink="">
          <xdr:nvSpPr>
            <xdr:cNvPr id="20" name="Ellipse 19"/>
            <xdr:cNvSpPr/>
          </xdr:nvSpPr>
          <xdr:spPr>
            <a:xfrm>
              <a:off x="5114192" y="4645269"/>
              <a:ext cx="468923" cy="468923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21" name="Ellipse 20"/>
            <xdr:cNvSpPr/>
          </xdr:nvSpPr>
          <xdr:spPr>
            <a:xfrm>
              <a:off x="5282711" y="4799135"/>
              <a:ext cx="146539" cy="139211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</xdr:grpSp>
    </xdr:grpSp>
    <xdr:clientData/>
  </xdr:twoCellAnchor>
  <xdr:twoCellAnchor>
    <xdr:from>
      <xdr:col>9</xdr:col>
      <xdr:colOff>186702</xdr:colOff>
      <xdr:row>18</xdr:row>
      <xdr:rowOff>62744</xdr:rowOff>
    </xdr:from>
    <xdr:to>
      <xdr:col>9</xdr:col>
      <xdr:colOff>848957</xdr:colOff>
      <xdr:row>18</xdr:row>
      <xdr:rowOff>619127</xdr:rowOff>
    </xdr:to>
    <xdr:grpSp>
      <xdr:nvGrpSpPr>
        <xdr:cNvPr id="28" name="Gruppieren 27"/>
        <xdr:cNvGrpSpPr/>
      </xdr:nvGrpSpPr>
      <xdr:grpSpPr>
        <a:xfrm>
          <a:off x="8737051" y="5467628"/>
          <a:ext cx="662255" cy="556383"/>
          <a:chOff x="6836021" y="4337540"/>
          <a:chExt cx="666751" cy="564174"/>
        </a:xfrm>
        <a:solidFill>
          <a:srgbClr val="0000FF"/>
        </a:solidFill>
      </xdr:grpSpPr>
      <xdr:grpSp>
        <xdr:nvGrpSpPr>
          <xdr:cNvPr id="29" name="Gruppieren 44"/>
          <xdr:cNvGrpSpPr/>
        </xdr:nvGrpSpPr>
        <xdr:grpSpPr>
          <a:xfrm>
            <a:off x="7063156" y="4418137"/>
            <a:ext cx="315058" cy="278423"/>
            <a:chOff x="5114192" y="4645269"/>
            <a:chExt cx="468923" cy="468923"/>
          </a:xfrm>
          <a:grpFill/>
        </xdr:grpSpPr>
        <xdr:sp macro="" textlink="">
          <xdr:nvSpPr>
            <xdr:cNvPr id="39" name="Ellipse 38"/>
            <xdr:cNvSpPr/>
          </xdr:nvSpPr>
          <xdr:spPr>
            <a:xfrm>
              <a:off x="5114192" y="4645269"/>
              <a:ext cx="468923" cy="468923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40" name="Ellipse 39"/>
            <xdr:cNvSpPr/>
          </xdr:nvSpPr>
          <xdr:spPr>
            <a:xfrm>
              <a:off x="5282711" y="4799135"/>
              <a:ext cx="146539" cy="139211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</xdr:grpSp>
      <xdr:grpSp>
        <xdr:nvGrpSpPr>
          <xdr:cNvPr id="30" name="Gruppieren 47"/>
          <xdr:cNvGrpSpPr/>
        </xdr:nvGrpSpPr>
        <xdr:grpSpPr>
          <a:xfrm>
            <a:off x="6916618" y="4586656"/>
            <a:ext cx="315058" cy="278423"/>
            <a:chOff x="5114192" y="4645269"/>
            <a:chExt cx="468923" cy="468923"/>
          </a:xfrm>
          <a:grpFill/>
        </xdr:grpSpPr>
        <xdr:sp macro="" textlink="">
          <xdr:nvSpPr>
            <xdr:cNvPr id="37" name="Ellipse 36"/>
            <xdr:cNvSpPr/>
          </xdr:nvSpPr>
          <xdr:spPr>
            <a:xfrm>
              <a:off x="5114192" y="4645269"/>
              <a:ext cx="468923" cy="468923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38" name="Ellipse 37"/>
            <xdr:cNvSpPr/>
          </xdr:nvSpPr>
          <xdr:spPr>
            <a:xfrm>
              <a:off x="5282711" y="4799135"/>
              <a:ext cx="146539" cy="139211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</xdr:grpSp>
      <xdr:grpSp>
        <xdr:nvGrpSpPr>
          <xdr:cNvPr id="31" name="Gruppieren 50"/>
          <xdr:cNvGrpSpPr/>
        </xdr:nvGrpSpPr>
        <xdr:grpSpPr>
          <a:xfrm>
            <a:off x="6836021" y="4337540"/>
            <a:ext cx="315058" cy="278423"/>
            <a:chOff x="5114192" y="4645269"/>
            <a:chExt cx="468923" cy="468923"/>
          </a:xfrm>
          <a:grpFill/>
        </xdr:grpSpPr>
        <xdr:sp macro="" textlink="">
          <xdr:nvSpPr>
            <xdr:cNvPr id="35" name="Ellipse 34"/>
            <xdr:cNvSpPr/>
          </xdr:nvSpPr>
          <xdr:spPr>
            <a:xfrm>
              <a:off x="5114192" y="4645269"/>
              <a:ext cx="468923" cy="468923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36" name="Ellipse 35"/>
            <xdr:cNvSpPr/>
          </xdr:nvSpPr>
          <xdr:spPr>
            <a:xfrm>
              <a:off x="5282711" y="4799135"/>
              <a:ext cx="146539" cy="139211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</xdr:grpSp>
      <xdr:grpSp>
        <xdr:nvGrpSpPr>
          <xdr:cNvPr id="32" name="Gruppieren 53"/>
          <xdr:cNvGrpSpPr/>
        </xdr:nvGrpSpPr>
        <xdr:grpSpPr>
          <a:xfrm>
            <a:off x="7187714" y="4623291"/>
            <a:ext cx="315058" cy="278423"/>
            <a:chOff x="5114192" y="4645269"/>
            <a:chExt cx="468923" cy="468923"/>
          </a:xfrm>
          <a:grpFill/>
        </xdr:grpSpPr>
        <xdr:sp macro="" textlink="">
          <xdr:nvSpPr>
            <xdr:cNvPr id="33" name="Ellipse 32"/>
            <xdr:cNvSpPr/>
          </xdr:nvSpPr>
          <xdr:spPr>
            <a:xfrm>
              <a:off x="5114192" y="4645269"/>
              <a:ext cx="468923" cy="468923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34" name="Ellipse 33"/>
            <xdr:cNvSpPr/>
          </xdr:nvSpPr>
          <xdr:spPr>
            <a:xfrm>
              <a:off x="5282711" y="4799135"/>
              <a:ext cx="146539" cy="139211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</xdr:grpSp>
    </xdr:grpSp>
    <xdr:clientData/>
  </xdr:twoCellAnchor>
  <xdr:twoCellAnchor>
    <xdr:from>
      <xdr:col>9</xdr:col>
      <xdr:colOff>181051</xdr:colOff>
      <xdr:row>14</xdr:row>
      <xdr:rowOff>738186</xdr:rowOff>
    </xdr:from>
    <xdr:to>
      <xdr:col>9</xdr:col>
      <xdr:colOff>825821</xdr:colOff>
      <xdr:row>16</xdr:row>
      <xdr:rowOff>28759</xdr:rowOff>
    </xdr:to>
    <xdr:grpSp>
      <xdr:nvGrpSpPr>
        <xdr:cNvPr id="41" name="Gruppieren 40"/>
        <xdr:cNvGrpSpPr/>
      </xdr:nvGrpSpPr>
      <xdr:grpSpPr>
        <a:xfrm>
          <a:off x="8731400" y="3728593"/>
          <a:ext cx="644770" cy="564265"/>
          <a:chOff x="3319097" y="4249615"/>
          <a:chExt cx="644770" cy="564174"/>
        </a:xfrm>
        <a:solidFill>
          <a:srgbClr val="66FF33"/>
        </a:solidFill>
      </xdr:grpSpPr>
      <xdr:grpSp>
        <xdr:nvGrpSpPr>
          <xdr:cNvPr id="42" name="Gruppieren 10"/>
          <xdr:cNvGrpSpPr/>
        </xdr:nvGrpSpPr>
        <xdr:grpSpPr>
          <a:xfrm>
            <a:off x="3326424" y="4249615"/>
            <a:ext cx="315058" cy="278423"/>
            <a:chOff x="5114192" y="4645269"/>
            <a:chExt cx="468923" cy="468923"/>
          </a:xfrm>
          <a:grpFill/>
        </xdr:grpSpPr>
        <xdr:sp macro="" textlink="">
          <xdr:nvSpPr>
            <xdr:cNvPr id="52" name="Ellipse 51"/>
            <xdr:cNvSpPr/>
          </xdr:nvSpPr>
          <xdr:spPr>
            <a:xfrm>
              <a:off x="5114192" y="4645269"/>
              <a:ext cx="468923" cy="468923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53" name="Ellipse 52"/>
            <xdr:cNvSpPr/>
          </xdr:nvSpPr>
          <xdr:spPr>
            <a:xfrm>
              <a:off x="5282711" y="4799135"/>
              <a:ext cx="146539" cy="139211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</xdr:grpSp>
      <xdr:grpSp>
        <xdr:nvGrpSpPr>
          <xdr:cNvPr id="43" name="Gruppieren 11"/>
          <xdr:cNvGrpSpPr/>
        </xdr:nvGrpSpPr>
        <xdr:grpSpPr>
          <a:xfrm>
            <a:off x="3648809" y="4256942"/>
            <a:ext cx="315058" cy="278423"/>
            <a:chOff x="5114192" y="4645269"/>
            <a:chExt cx="468923" cy="468923"/>
          </a:xfrm>
          <a:grpFill/>
        </xdr:grpSpPr>
        <xdr:sp macro="" textlink="">
          <xdr:nvSpPr>
            <xdr:cNvPr id="50" name="Ellipse 49"/>
            <xdr:cNvSpPr/>
          </xdr:nvSpPr>
          <xdr:spPr>
            <a:xfrm>
              <a:off x="5114192" y="4645269"/>
              <a:ext cx="468923" cy="468923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51" name="Ellipse 50"/>
            <xdr:cNvSpPr/>
          </xdr:nvSpPr>
          <xdr:spPr>
            <a:xfrm>
              <a:off x="5282711" y="4799135"/>
              <a:ext cx="146539" cy="139211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</xdr:grpSp>
      <xdr:grpSp>
        <xdr:nvGrpSpPr>
          <xdr:cNvPr id="44" name="Gruppieren 14"/>
          <xdr:cNvGrpSpPr/>
        </xdr:nvGrpSpPr>
        <xdr:grpSpPr>
          <a:xfrm>
            <a:off x="3319097" y="4535365"/>
            <a:ext cx="315058" cy="278423"/>
            <a:chOff x="5114192" y="4645269"/>
            <a:chExt cx="468923" cy="468923"/>
          </a:xfrm>
          <a:grpFill/>
        </xdr:grpSpPr>
        <xdr:sp macro="" textlink="">
          <xdr:nvSpPr>
            <xdr:cNvPr id="48" name="Ellipse 15"/>
            <xdr:cNvSpPr/>
          </xdr:nvSpPr>
          <xdr:spPr>
            <a:xfrm>
              <a:off x="5114192" y="4645269"/>
              <a:ext cx="468923" cy="468923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49" name="Ellipse 16"/>
            <xdr:cNvSpPr/>
          </xdr:nvSpPr>
          <xdr:spPr>
            <a:xfrm>
              <a:off x="5282711" y="4799135"/>
              <a:ext cx="146539" cy="139211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</xdr:grpSp>
      <xdr:grpSp>
        <xdr:nvGrpSpPr>
          <xdr:cNvPr id="45" name="Gruppieren 17"/>
          <xdr:cNvGrpSpPr/>
        </xdr:nvGrpSpPr>
        <xdr:grpSpPr>
          <a:xfrm>
            <a:off x="3641481" y="4535366"/>
            <a:ext cx="315058" cy="278423"/>
            <a:chOff x="5114192" y="4645269"/>
            <a:chExt cx="468923" cy="468923"/>
          </a:xfrm>
          <a:grpFill/>
        </xdr:grpSpPr>
        <xdr:sp macro="" textlink="">
          <xdr:nvSpPr>
            <xdr:cNvPr id="46" name="Ellipse 18"/>
            <xdr:cNvSpPr/>
          </xdr:nvSpPr>
          <xdr:spPr>
            <a:xfrm>
              <a:off x="5114192" y="4645269"/>
              <a:ext cx="468923" cy="468923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47" name="Ellipse 46"/>
            <xdr:cNvSpPr/>
          </xdr:nvSpPr>
          <xdr:spPr>
            <a:xfrm>
              <a:off x="5282711" y="4799135"/>
              <a:ext cx="146539" cy="139211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</xdr:grpSp>
    </xdr:grpSp>
    <xdr:clientData/>
  </xdr:twoCellAnchor>
  <xdr:twoCellAnchor>
    <xdr:from>
      <xdr:col>9</xdr:col>
      <xdr:colOff>224885</xdr:colOff>
      <xdr:row>19</xdr:row>
      <xdr:rowOff>64294</xdr:rowOff>
    </xdr:from>
    <xdr:to>
      <xdr:col>9</xdr:col>
      <xdr:colOff>869157</xdr:colOff>
      <xdr:row>20</xdr:row>
      <xdr:rowOff>0</xdr:rowOff>
    </xdr:to>
    <xdr:grpSp>
      <xdr:nvGrpSpPr>
        <xdr:cNvPr id="54" name="Gruppieren 53"/>
        <xdr:cNvGrpSpPr/>
      </xdr:nvGrpSpPr>
      <xdr:grpSpPr>
        <a:xfrm>
          <a:off x="8775234" y="6178015"/>
          <a:ext cx="644272" cy="500561"/>
          <a:chOff x="7993677" y="4286252"/>
          <a:chExt cx="527536" cy="439616"/>
        </a:xfrm>
        <a:solidFill>
          <a:srgbClr val="FF9900"/>
        </a:solidFill>
      </xdr:grpSpPr>
      <xdr:grpSp>
        <xdr:nvGrpSpPr>
          <xdr:cNvPr id="55" name="Gruppieren 54"/>
          <xdr:cNvGrpSpPr/>
        </xdr:nvGrpSpPr>
        <xdr:grpSpPr>
          <a:xfrm>
            <a:off x="8008331" y="4286252"/>
            <a:ext cx="329708" cy="278423"/>
            <a:chOff x="5114192" y="4645269"/>
            <a:chExt cx="468923" cy="468923"/>
          </a:xfrm>
          <a:grpFill/>
        </xdr:grpSpPr>
        <xdr:sp macro="" textlink="">
          <xdr:nvSpPr>
            <xdr:cNvPr id="65" name="Ellipse 57"/>
            <xdr:cNvSpPr/>
          </xdr:nvSpPr>
          <xdr:spPr>
            <a:xfrm>
              <a:off x="5114192" y="4645269"/>
              <a:ext cx="468923" cy="468923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66" name="Ellipse 58"/>
            <xdr:cNvSpPr/>
          </xdr:nvSpPr>
          <xdr:spPr>
            <a:xfrm>
              <a:off x="5282711" y="4799135"/>
              <a:ext cx="146539" cy="139211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</xdr:grpSp>
      <xdr:grpSp>
        <xdr:nvGrpSpPr>
          <xdr:cNvPr id="56" name="Gruppieren 59"/>
          <xdr:cNvGrpSpPr/>
        </xdr:nvGrpSpPr>
        <xdr:grpSpPr>
          <a:xfrm>
            <a:off x="7993677" y="4425463"/>
            <a:ext cx="329708" cy="278423"/>
            <a:chOff x="5114192" y="4645269"/>
            <a:chExt cx="468923" cy="468923"/>
          </a:xfrm>
          <a:grpFill/>
        </xdr:grpSpPr>
        <xdr:sp macro="" textlink="">
          <xdr:nvSpPr>
            <xdr:cNvPr id="63" name="Ellipse 62"/>
            <xdr:cNvSpPr/>
          </xdr:nvSpPr>
          <xdr:spPr>
            <a:xfrm>
              <a:off x="5114192" y="4645269"/>
              <a:ext cx="468923" cy="468923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64" name="Ellipse 63"/>
            <xdr:cNvSpPr/>
          </xdr:nvSpPr>
          <xdr:spPr>
            <a:xfrm>
              <a:off x="5282711" y="4799135"/>
              <a:ext cx="146539" cy="139211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</xdr:grpSp>
      <xdr:grpSp>
        <xdr:nvGrpSpPr>
          <xdr:cNvPr id="57" name="Gruppieren 62"/>
          <xdr:cNvGrpSpPr/>
        </xdr:nvGrpSpPr>
        <xdr:grpSpPr>
          <a:xfrm>
            <a:off x="8191503" y="4286252"/>
            <a:ext cx="329708" cy="278423"/>
            <a:chOff x="5114192" y="4645269"/>
            <a:chExt cx="468923" cy="468923"/>
          </a:xfrm>
          <a:grpFill/>
        </xdr:grpSpPr>
        <xdr:sp macro="" textlink="">
          <xdr:nvSpPr>
            <xdr:cNvPr id="61" name="Ellipse 60"/>
            <xdr:cNvSpPr/>
          </xdr:nvSpPr>
          <xdr:spPr>
            <a:xfrm>
              <a:off x="5114192" y="4645269"/>
              <a:ext cx="468923" cy="468923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62" name="Ellipse 61"/>
            <xdr:cNvSpPr/>
          </xdr:nvSpPr>
          <xdr:spPr>
            <a:xfrm>
              <a:off x="5282711" y="4799135"/>
              <a:ext cx="146539" cy="139211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</xdr:grpSp>
      <xdr:grpSp>
        <xdr:nvGrpSpPr>
          <xdr:cNvPr id="58" name="Gruppieren 65"/>
          <xdr:cNvGrpSpPr/>
        </xdr:nvGrpSpPr>
        <xdr:grpSpPr>
          <a:xfrm>
            <a:off x="8191505" y="4447445"/>
            <a:ext cx="329708" cy="278423"/>
            <a:chOff x="5114192" y="4645269"/>
            <a:chExt cx="468923" cy="468923"/>
          </a:xfrm>
          <a:grpFill/>
        </xdr:grpSpPr>
        <xdr:sp macro="" textlink="">
          <xdr:nvSpPr>
            <xdr:cNvPr id="59" name="Ellipse 58"/>
            <xdr:cNvSpPr/>
          </xdr:nvSpPr>
          <xdr:spPr>
            <a:xfrm>
              <a:off x="5114192" y="4645269"/>
              <a:ext cx="468923" cy="468923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60" name="Ellipse 59"/>
            <xdr:cNvSpPr/>
          </xdr:nvSpPr>
          <xdr:spPr>
            <a:xfrm>
              <a:off x="5282711" y="4799135"/>
              <a:ext cx="146539" cy="139211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</xdr:grpSp>
    </xdr:grpSp>
    <xdr:clientData/>
  </xdr:twoCellAnchor>
  <xdr:twoCellAnchor>
    <xdr:from>
      <xdr:col>9</xdr:col>
      <xdr:colOff>228915</xdr:colOff>
      <xdr:row>20</xdr:row>
      <xdr:rowOff>84865</xdr:rowOff>
    </xdr:from>
    <xdr:to>
      <xdr:col>9</xdr:col>
      <xdr:colOff>816849</xdr:colOff>
      <xdr:row>20</xdr:row>
      <xdr:rowOff>513709</xdr:rowOff>
    </xdr:to>
    <xdr:grpSp>
      <xdr:nvGrpSpPr>
        <xdr:cNvPr id="67" name="Gruppieren 66"/>
        <xdr:cNvGrpSpPr/>
      </xdr:nvGrpSpPr>
      <xdr:grpSpPr>
        <a:xfrm>
          <a:off x="8779264" y="6763441"/>
          <a:ext cx="587934" cy="428844"/>
          <a:chOff x="8968159" y="4359521"/>
          <a:chExt cx="534862" cy="468924"/>
        </a:xfrm>
        <a:solidFill>
          <a:srgbClr val="FF0000"/>
        </a:solidFill>
      </xdr:grpSpPr>
      <xdr:grpSp>
        <xdr:nvGrpSpPr>
          <xdr:cNvPr id="68" name="Gruppieren 67"/>
          <xdr:cNvGrpSpPr/>
        </xdr:nvGrpSpPr>
        <xdr:grpSpPr>
          <a:xfrm>
            <a:off x="8968159" y="4359521"/>
            <a:ext cx="329708" cy="278423"/>
            <a:chOff x="5114192" y="4645269"/>
            <a:chExt cx="468923" cy="468923"/>
          </a:xfrm>
          <a:grpFill/>
        </xdr:grpSpPr>
        <xdr:sp macro="" textlink="">
          <xdr:nvSpPr>
            <xdr:cNvPr id="78" name="Ellipse 69"/>
            <xdr:cNvSpPr/>
          </xdr:nvSpPr>
          <xdr:spPr>
            <a:xfrm>
              <a:off x="5114192" y="4645269"/>
              <a:ext cx="468923" cy="468923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79" name="Ellipse 70"/>
            <xdr:cNvSpPr/>
          </xdr:nvSpPr>
          <xdr:spPr>
            <a:xfrm>
              <a:off x="5282711" y="4799135"/>
              <a:ext cx="146539" cy="139211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</xdr:grpSp>
      <xdr:grpSp>
        <xdr:nvGrpSpPr>
          <xdr:cNvPr id="69" name="Gruppieren 71"/>
          <xdr:cNvGrpSpPr/>
        </xdr:nvGrpSpPr>
        <xdr:grpSpPr>
          <a:xfrm>
            <a:off x="8990138" y="4528039"/>
            <a:ext cx="329708" cy="278423"/>
            <a:chOff x="5114192" y="4645269"/>
            <a:chExt cx="468923" cy="468923"/>
          </a:xfrm>
          <a:grpFill/>
        </xdr:grpSpPr>
        <xdr:sp macro="" textlink="">
          <xdr:nvSpPr>
            <xdr:cNvPr id="76" name="Ellipse 75"/>
            <xdr:cNvSpPr/>
          </xdr:nvSpPr>
          <xdr:spPr>
            <a:xfrm>
              <a:off x="5114192" y="4645269"/>
              <a:ext cx="468923" cy="468923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77" name="Ellipse 76"/>
            <xdr:cNvSpPr/>
          </xdr:nvSpPr>
          <xdr:spPr>
            <a:xfrm>
              <a:off x="5282711" y="4799135"/>
              <a:ext cx="146539" cy="139211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</xdr:grpSp>
      <xdr:grpSp>
        <xdr:nvGrpSpPr>
          <xdr:cNvPr id="70" name="Gruppieren 74"/>
          <xdr:cNvGrpSpPr/>
        </xdr:nvGrpSpPr>
        <xdr:grpSpPr>
          <a:xfrm>
            <a:off x="9122023" y="4403483"/>
            <a:ext cx="329708" cy="278423"/>
            <a:chOff x="5114192" y="4645269"/>
            <a:chExt cx="468923" cy="468923"/>
          </a:xfrm>
          <a:grpFill/>
        </xdr:grpSpPr>
        <xdr:sp macro="" textlink="">
          <xdr:nvSpPr>
            <xdr:cNvPr id="74" name="Ellipse 73"/>
            <xdr:cNvSpPr/>
          </xdr:nvSpPr>
          <xdr:spPr>
            <a:xfrm>
              <a:off x="5114192" y="4645269"/>
              <a:ext cx="468923" cy="468923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75" name="Ellipse 74"/>
            <xdr:cNvSpPr/>
          </xdr:nvSpPr>
          <xdr:spPr>
            <a:xfrm>
              <a:off x="5282711" y="4799135"/>
              <a:ext cx="146539" cy="139211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</xdr:grpSp>
      <xdr:grpSp>
        <xdr:nvGrpSpPr>
          <xdr:cNvPr id="71" name="Gruppieren 77"/>
          <xdr:cNvGrpSpPr/>
        </xdr:nvGrpSpPr>
        <xdr:grpSpPr>
          <a:xfrm>
            <a:off x="9173313" y="4550022"/>
            <a:ext cx="329708" cy="278423"/>
            <a:chOff x="5114192" y="4645269"/>
            <a:chExt cx="468923" cy="468923"/>
          </a:xfrm>
          <a:grpFill/>
        </xdr:grpSpPr>
        <xdr:sp macro="" textlink="">
          <xdr:nvSpPr>
            <xdr:cNvPr id="72" name="Ellipse 71"/>
            <xdr:cNvSpPr/>
          </xdr:nvSpPr>
          <xdr:spPr>
            <a:xfrm>
              <a:off x="5114192" y="4645269"/>
              <a:ext cx="468923" cy="468923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73" name="Ellipse 72"/>
            <xdr:cNvSpPr/>
          </xdr:nvSpPr>
          <xdr:spPr>
            <a:xfrm>
              <a:off x="5282711" y="4799135"/>
              <a:ext cx="146539" cy="139211"/>
            </a:xfrm>
            <a:prstGeom prst="ellipse">
              <a:avLst/>
            </a:prstGeom>
            <a:grpFill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</xdr:grpSp>
    </xdr:grpSp>
    <xdr:clientData/>
  </xdr:twoCellAnchor>
  <xdr:twoCellAnchor>
    <xdr:from>
      <xdr:col>12</xdr:col>
      <xdr:colOff>331770</xdr:colOff>
      <xdr:row>20</xdr:row>
      <xdr:rowOff>492304</xdr:rowOff>
    </xdr:from>
    <xdr:to>
      <xdr:col>12</xdr:col>
      <xdr:colOff>599326</xdr:colOff>
      <xdr:row>21</xdr:row>
      <xdr:rowOff>149832</xdr:rowOff>
    </xdr:to>
    <xdr:sp macro="" textlink="">
      <xdr:nvSpPr>
        <xdr:cNvPr id="80" name="Pfeil nach unten 79"/>
        <xdr:cNvSpPr/>
      </xdr:nvSpPr>
      <xdr:spPr>
        <a:xfrm>
          <a:off x="11895120" y="7159804"/>
          <a:ext cx="267556" cy="21950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10</xdr:col>
      <xdr:colOff>149832</xdr:colOff>
      <xdr:row>11</xdr:row>
      <xdr:rowOff>117720</xdr:rowOff>
    </xdr:from>
    <xdr:to>
      <xdr:col>13</xdr:col>
      <xdr:colOff>1000126</xdr:colOff>
      <xdr:row>12</xdr:row>
      <xdr:rowOff>203338</xdr:rowOff>
    </xdr:to>
    <xdr:sp macro="" textlink="">
      <xdr:nvSpPr>
        <xdr:cNvPr id="81" name="Geschweifte Klammer rechts 80"/>
        <xdr:cNvSpPr/>
      </xdr:nvSpPr>
      <xdr:spPr>
        <a:xfrm rot="16200000">
          <a:off x="11419245" y="725982"/>
          <a:ext cx="323743" cy="3622069"/>
        </a:xfrm>
        <a:prstGeom prst="rightBrace">
          <a:avLst>
            <a:gd name="adj1" fmla="val 8333"/>
            <a:gd name="adj2" fmla="val 37908"/>
          </a:avLst>
        </a:prstGeom>
        <a:ln w="444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ckenbeschallung/_TOOLS/Sound%20Calculator_M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Inverse Square Law"/>
      <sheetName val="Speed of Sound &amp; Time-Distance"/>
      <sheetName val="PAG-NAG Outdoor"/>
      <sheetName val="RT60"/>
      <sheetName val="Critical Distance"/>
      <sheetName val="Indoor Sound Attenuation"/>
      <sheetName val="PAG-NAG Indoors"/>
      <sheetName val="Distributed Ldspk Coverage"/>
      <sheetName val="Wire Loss &amp; Damping Factor"/>
      <sheetName val="Electrical Power Required"/>
      <sheetName val="CV Complex EPR"/>
      <sheetName val="Complex N Factor"/>
      <sheetName val="Speech Intelligibility"/>
      <sheetName val="Calculators"/>
      <sheetName val="Tabelle1"/>
    </sheetNames>
    <sheetDataSet>
      <sheetData sheetId="0">
        <row r="13">
          <cell r="K13" t="str">
            <v>Metric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4"/>
  <sheetViews>
    <sheetView tabSelected="1" zoomScale="86" zoomScaleNormal="86" workbookViewId="0">
      <selection activeCell="F16" sqref="F16"/>
    </sheetView>
  </sheetViews>
  <sheetFormatPr baseColWidth="10" defaultColWidth="10.28515625" defaultRowHeight="14.25"/>
  <cols>
    <col min="1" max="1" width="16.28515625" style="3" customWidth="1"/>
    <col min="2" max="2" width="21" style="3" customWidth="1"/>
    <col min="3" max="3" width="10.85546875" style="3" customWidth="1"/>
    <col min="4" max="4" width="17.140625" style="3" customWidth="1"/>
    <col min="5" max="5" width="12.7109375" style="3" customWidth="1"/>
    <col min="6" max="6" width="12.140625" style="3" customWidth="1"/>
    <col min="7" max="7" width="11.5703125" style="3" customWidth="1"/>
    <col min="8" max="8" width="10.7109375" style="3" customWidth="1"/>
    <col min="9" max="9" width="15.7109375" style="3" customWidth="1"/>
    <col min="10" max="10" width="16.140625" style="3" customWidth="1"/>
    <col min="11" max="11" width="15" style="3" customWidth="1"/>
    <col min="12" max="12" width="14.140625" style="3" customWidth="1"/>
    <col min="13" max="13" width="12.42578125" style="3" customWidth="1"/>
    <col min="14" max="14" width="15.5703125" style="3" customWidth="1"/>
    <col min="15" max="15" width="15.5703125" style="3" hidden="1" customWidth="1"/>
    <col min="16" max="16" width="22.5703125" style="3" hidden="1" customWidth="1"/>
    <col min="17" max="17" width="20.42578125" style="3" hidden="1" customWidth="1"/>
    <col min="18" max="18" width="13.42578125" style="3" hidden="1" customWidth="1"/>
    <col min="19" max="22" width="10.28515625" style="3" hidden="1" customWidth="1"/>
    <col min="23" max="16384" width="10.28515625" style="3"/>
  </cols>
  <sheetData>
    <row r="1" spans="1:30" ht="11.4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7.45" customHeight="1">
      <c r="A2" s="2"/>
      <c r="B2" s="2"/>
      <c r="C2" s="2"/>
      <c r="D2" s="2"/>
      <c r="E2" s="2"/>
      <c r="G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>
      <c r="A3" s="2"/>
      <c r="C3" s="5"/>
      <c r="D3" s="5"/>
      <c r="E3" s="5"/>
      <c r="G3" s="5"/>
      <c r="I3" s="6"/>
      <c r="J3" s="5"/>
      <c r="K3" s="5"/>
      <c r="L3" s="5"/>
      <c r="M3" s="5"/>
      <c r="N3" s="5"/>
      <c r="O3" s="5"/>
      <c r="P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>
      <c r="A4" s="2"/>
      <c r="C4" s="5"/>
      <c r="D4" s="5"/>
      <c r="E4" s="5"/>
      <c r="G4" s="5"/>
      <c r="H4" s="6"/>
      <c r="I4" s="6"/>
      <c r="J4" s="5"/>
      <c r="K4" s="5"/>
      <c r="L4" s="5"/>
      <c r="M4" s="5"/>
      <c r="N4" s="5"/>
      <c r="O4" s="5"/>
      <c r="P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6.5" customHeight="1">
      <c r="A5" s="2"/>
      <c r="C5" s="5" t="s">
        <v>95</v>
      </c>
      <c r="D5" s="5"/>
      <c r="E5" s="5"/>
      <c r="F5" s="5"/>
      <c r="H5" s="5"/>
      <c r="I5" s="5"/>
      <c r="J5" s="5"/>
      <c r="K5" s="5"/>
      <c r="L5" s="5"/>
      <c r="M5" s="5"/>
      <c r="N5" s="5"/>
      <c r="O5" s="5"/>
      <c r="P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8.75" customHeight="1">
      <c r="A6" s="2"/>
      <c r="C6" s="7" t="s">
        <v>97</v>
      </c>
      <c r="M6" s="8"/>
      <c r="N6" s="8"/>
      <c r="O6" s="8"/>
      <c r="P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9.5" customHeight="1">
      <c r="A7" s="9"/>
      <c r="C7" s="7" t="s">
        <v>96</v>
      </c>
      <c r="M7" s="10"/>
      <c r="N7" s="8"/>
      <c r="O7" s="8"/>
      <c r="P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7.25" customHeight="1">
      <c r="A8" s="9"/>
      <c r="C8" s="7"/>
      <c r="I8" s="4" t="s">
        <v>10</v>
      </c>
      <c r="P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>
      <c r="A9" s="2"/>
      <c r="C9" s="7"/>
      <c r="I9" s="11" t="s">
        <v>11</v>
      </c>
      <c r="P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5.75" thickBot="1">
      <c r="A10" s="2"/>
      <c r="C10" s="7"/>
      <c r="D10" s="8"/>
      <c r="E10" s="7"/>
      <c r="F10" s="12" t="s">
        <v>12</v>
      </c>
      <c r="G10" s="7"/>
      <c r="P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8.75">
      <c r="A11" s="2"/>
      <c r="C11" s="13"/>
      <c r="D11" s="14"/>
      <c r="E11" s="15" t="s">
        <v>13</v>
      </c>
      <c r="F11" s="16">
        <v>40</v>
      </c>
      <c r="G11" s="17" t="str">
        <f>IF([1]Summary!$K$13="US","Ft","m")</f>
        <v>m</v>
      </c>
      <c r="L11" s="18" t="s">
        <v>14</v>
      </c>
      <c r="N11" s="8"/>
      <c r="O11" s="8"/>
      <c r="P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8.75">
      <c r="A12" s="2"/>
      <c r="C12" s="19"/>
      <c r="D12" s="20"/>
      <c r="E12" s="21" t="s">
        <v>15</v>
      </c>
      <c r="F12" s="22">
        <v>20</v>
      </c>
      <c r="G12" s="23" t="str">
        <f>IF([1]Summary!$K$13="US","Ft","m")</f>
        <v>m</v>
      </c>
      <c r="N12" s="8"/>
      <c r="O12" s="8"/>
      <c r="P12" s="8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8.75">
      <c r="A13" s="2"/>
      <c r="C13" s="19"/>
      <c r="D13" s="8"/>
      <c r="E13" s="21" t="s">
        <v>16</v>
      </c>
      <c r="F13" s="22">
        <v>4</v>
      </c>
      <c r="G13" s="23" t="str">
        <f>IF([1]Summary!$K$13="US","Ft","m")</f>
        <v>m</v>
      </c>
      <c r="I13" s="7"/>
      <c r="J13" s="7"/>
      <c r="L13" s="7"/>
      <c r="N13" s="8"/>
      <c r="O13" s="8"/>
      <c r="P13" s="8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9.5" thickBot="1">
      <c r="A14" s="2"/>
      <c r="B14" s="8"/>
      <c r="C14" s="19"/>
      <c r="D14" s="8"/>
      <c r="E14" s="21" t="s">
        <v>17</v>
      </c>
      <c r="F14" s="22">
        <v>1.5</v>
      </c>
      <c r="G14" s="23" t="str">
        <f>IF([1]Summary!$K$13="US","Ft","m")</f>
        <v>m</v>
      </c>
      <c r="H14" s="24"/>
      <c r="I14" s="25"/>
      <c r="K14" s="26"/>
      <c r="L14" s="26"/>
      <c r="N14" s="26"/>
      <c r="O14" s="26"/>
      <c r="P14" s="26"/>
      <c r="Q14" s="26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58.5" customHeight="1">
      <c r="A15" s="2"/>
      <c r="B15" s="8"/>
      <c r="C15" s="19"/>
      <c r="D15" s="8"/>
      <c r="E15" s="21" t="s">
        <v>18</v>
      </c>
      <c r="F15" s="22">
        <v>90</v>
      </c>
      <c r="G15" s="23" t="s">
        <v>19</v>
      </c>
      <c r="I15" s="27" t="s">
        <v>20</v>
      </c>
      <c r="J15" s="28" t="s">
        <v>21</v>
      </c>
      <c r="K15" s="29" t="s">
        <v>22</v>
      </c>
      <c r="L15" s="29" t="s">
        <v>23</v>
      </c>
      <c r="M15" s="30" t="s">
        <v>24</v>
      </c>
      <c r="N15" s="32" t="s">
        <v>25</v>
      </c>
      <c r="O15" s="30" t="s">
        <v>100</v>
      </c>
      <c r="P15" s="30" t="s">
        <v>101</v>
      </c>
      <c r="Q15" s="31" t="s">
        <v>26</v>
      </c>
      <c r="R15" s="32" t="s">
        <v>27</v>
      </c>
      <c r="S15" s="33">
        <v>0.53</v>
      </c>
      <c r="T15" s="33">
        <v>0.45</v>
      </c>
      <c r="U15" s="33">
        <v>0.4</v>
      </c>
      <c r="V15" s="33">
        <v>0.3</v>
      </c>
      <c r="W15" s="2"/>
      <c r="X15" s="2"/>
      <c r="Y15" s="2"/>
      <c r="Z15" s="2"/>
      <c r="AA15" s="2"/>
      <c r="AB15" s="2"/>
      <c r="AC15" s="2"/>
      <c r="AD15" s="2"/>
    </row>
    <row r="16" spans="1:30" ht="42" customHeight="1">
      <c r="A16" s="2"/>
      <c r="B16" s="34"/>
      <c r="C16" s="19"/>
      <c r="D16" s="8"/>
      <c r="E16" s="21" t="s">
        <v>28</v>
      </c>
      <c r="F16" s="22">
        <v>80</v>
      </c>
      <c r="G16" s="35" t="s">
        <v>19</v>
      </c>
      <c r="I16" s="36" t="s">
        <v>29</v>
      </c>
      <c r="J16" s="37"/>
      <c r="K16" s="38">
        <f>+K20/4</f>
        <v>32.000000000000007</v>
      </c>
      <c r="L16" s="39">
        <f>2*F20</f>
        <v>4.9999999999999991</v>
      </c>
      <c r="M16" s="40">
        <f>C46</f>
        <v>0.75</v>
      </c>
      <c r="N16" s="140">
        <f>M16*K16</f>
        <v>24.000000000000007</v>
      </c>
      <c r="O16" s="139">
        <f>F24</f>
        <v>0.51646983967420468</v>
      </c>
      <c r="P16" s="40">
        <f>$O$16-(0.3*$O$16)</f>
        <v>0.36152888777194325</v>
      </c>
      <c r="Q16" s="41" t="str">
        <f>IF(M97&gt;25,"das wird nichts!",IF(M97&gt;16,"schlecht",IF(M97&gt;10,"befriedigend",IF(M97&gt;4.5,"gut",IF(M97&gt;0,"excellent")))))</f>
        <v>befriedigend</v>
      </c>
      <c r="R16" s="42">
        <v>5</v>
      </c>
      <c r="S16" s="43">
        <v>40</v>
      </c>
      <c r="T16" s="43">
        <v>8</v>
      </c>
      <c r="U16" s="43">
        <v>12</v>
      </c>
      <c r="V16" s="43">
        <v>40</v>
      </c>
      <c r="W16" s="2"/>
      <c r="X16" s="2"/>
      <c r="Y16" s="2"/>
      <c r="Z16" s="2"/>
      <c r="AA16" s="2"/>
      <c r="AB16" s="2"/>
      <c r="AC16" s="2"/>
      <c r="AD16" s="2"/>
    </row>
    <row r="17" spans="1:30" ht="43.5" customHeight="1" thickBot="1">
      <c r="A17" s="2"/>
      <c r="B17" s="34"/>
      <c r="C17" s="143"/>
      <c r="D17" s="147"/>
      <c r="E17" s="59" t="s">
        <v>103</v>
      </c>
      <c r="F17" s="145">
        <v>90</v>
      </c>
      <c r="G17" s="148" t="s">
        <v>41</v>
      </c>
      <c r="I17" s="44" t="s">
        <v>36</v>
      </c>
      <c r="J17" s="37"/>
      <c r="K17" s="38">
        <f>+K21/4</f>
        <v>36.951501154734423</v>
      </c>
      <c r="L17" s="39">
        <f>+L16</f>
        <v>4.9999999999999991</v>
      </c>
      <c r="M17" s="40">
        <f>M16</f>
        <v>0.75</v>
      </c>
      <c r="N17" s="42">
        <f>M17*K17</f>
        <v>27.713625866050819</v>
      </c>
      <c r="O17" s="139">
        <f>O16-0.03*O16</f>
        <v>0.50097574448397852</v>
      </c>
      <c r="P17" s="40">
        <f>O17-(0.24*O17)</f>
        <v>0.3807415658078237</v>
      </c>
      <c r="Q17" s="41" t="str">
        <f>IF(M100&gt;25,"das wird nichts!",IF(M100&gt;16,"schlecht",IF(M100&gt;10,"befriedigend",IF(M100&gt;4.5,"gut",IF(M100&gt;0,"excellent")))))</f>
        <v>befriedigend</v>
      </c>
      <c r="R17" s="42">
        <v>4</v>
      </c>
      <c r="S17" s="43">
        <v>50</v>
      </c>
      <c r="T17" s="43">
        <v>10</v>
      </c>
      <c r="U17" s="43">
        <v>7</v>
      </c>
      <c r="V17" s="43">
        <v>33</v>
      </c>
      <c r="W17" s="2"/>
      <c r="X17" s="2"/>
      <c r="Y17" s="2"/>
      <c r="Z17" s="2"/>
      <c r="AA17" s="2"/>
      <c r="AB17" s="2"/>
      <c r="AC17" s="2"/>
      <c r="AD17" s="2"/>
    </row>
    <row r="18" spans="1:30" ht="46.5" customHeight="1" thickBot="1">
      <c r="A18" s="2"/>
      <c r="B18" s="34"/>
      <c r="C18" s="143"/>
      <c r="D18" s="144" t="s">
        <v>30</v>
      </c>
      <c r="E18" s="144"/>
      <c r="F18" s="145">
        <v>2</v>
      </c>
      <c r="G18" s="146" t="s">
        <v>31</v>
      </c>
      <c r="I18" s="44" t="s">
        <v>32</v>
      </c>
      <c r="J18" s="37"/>
      <c r="K18" s="38">
        <f>+K20/2</f>
        <v>64.000000000000014</v>
      </c>
      <c r="L18" s="39">
        <f>F20*1.414</f>
        <v>3.5349999999999993</v>
      </c>
      <c r="M18" s="40">
        <f>M16</f>
        <v>0.75</v>
      </c>
      <c r="N18" s="42">
        <f t="shared" ref="N18" si="0">M18*K18</f>
        <v>48.000000000000014</v>
      </c>
      <c r="O18" s="139">
        <f>$O$16-0.1*$O$16</f>
        <v>0.46482285570678422</v>
      </c>
      <c r="P18" s="40">
        <f>O18-(0.09*O18)</f>
        <v>0.42298879869317363</v>
      </c>
      <c r="Q18" s="41" t="str">
        <f>IF(M98&gt;25,"das wird nichts!",IF(M98&gt;16,"schlecht",IF(M98&gt;10,"befriedigend",IF(M98&gt;4.5,"gut",IF(M98&gt;0,"excellent")))))</f>
        <v>befriedigend</v>
      </c>
      <c r="R18" s="42">
        <v>2</v>
      </c>
      <c r="S18" s="43">
        <v>85</v>
      </c>
      <c r="T18" s="43">
        <v>10</v>
      </c>
      <c r="U18" s="43">
        <v>4</v>
      </c>
      <c r="V18" s="43">
        <v>1</v>
      </c>
      <c r="W18" s="2"/>
      <c r="X18" s="2"/>
      <c r="Y18" s="2"/>
      <c r="Z18" s="2"/>
      <c r="AA18" s="2"/>
      <c r="AB18" s="2"/>
      <c r="AC18" s="2"/>
      <c r="AD18" s="2"/>
    </row>
    <row r="19" spans="1:30" ht="55.5" customHeight="1" thickBot="1">
      <c r="A19" s="2"/>
      <c r="B19" s="34"/>
      <c r="C19" s="7"/>
      <c r="I19" s="44" t="s">
        <v>38</v>
      </c>
      <c r="J19" s="37"/>
      <c r="K19" s="38">
        <f>+K21/2</f>
        <v>73.903002309468846</v>
      </c>
      <c r="L19" s="39">
        <f>SQRT(3)*F20</f>
        <v>4.3301270189221919</v>
      </c>
      <c r="M19" s="40">
        <f>M16</f>
        <v>0.75</v>
      </c>
      <c r="N19" s="42">
        <f>M19*K19</f>
        <v>55.427251732101638</v>
      </c>
      <c r="O19" s="139">
        <f>$O$16-0.11*$O$16</f>
        <v>0.45965815731004217</v>
      </c>
      <c r="P19" s="40">
        <f>O19-(0.05*O19)</f>
        <v>0.43667524944454006</v>
      </c>
      <c r="Q19" s="41" t="str">
        <f>IF(M101&gt;25,"das wird nichts!",IF(M101&gt;16,"schlecht",IF(M101&gt;10,"befriedigend",IF(M101&gt;4.5,"gut",IF(M101&gt;0,"excellent")))))</f>
        <v>befriedigend</v>
      </c>
      <c r="R19" s="42">
        <v>1.5</v>
      </c>
      <c r="S19" s="43">
        <v>91</v>
      </c>
      <c r="T19" s="43">
        <v>6</v>
      </c>
      <c r="U19" s="43">
        <v>2</v>
      </c>
      <c r="V19" s="43">
        <v>1</v>
      </c>
      <c r="W19" s="2"/>
      <c r="X19" s="2"/>
      <c r="Y19" s="2"/>
      <c r="Z19" s="2"/>
      <c r="AA19" s="2"/>
      <c r="AB19" s="2"/>
      <c r="AC19" s="2"/>
      <c r="AD19" s="2"/>
    </row>
    <row r="20" spans="1:30" ht="44.25" customHeight="1">
      <c r="A20" s="2"/>
      <c r="B20" s="34"/>
      <c r="C20" s="7"/>
      <c r="D20" s="45"/>
      <c r="E20" s="46" t="s">
        <v>34</v>
      </c>
      <c r="F20" s="47">
        <f>(+F13-F14)*TAN((F17/2)*(PI()/180))</f>
        <v>2.4999999999999996</v>
      </c>
      <c r="G20" s="48" t="s">
        <v>35</v>
      </c>
      <c r="I20" s="44" t="s">
        <v>33</v>
      </c>
      <c r="J20" s="37"/>
      <c r="K20" s="38">
        <f>F22/(F20*F20)</f>
        <v>128.00000000000003</v>
      </c>
      <c r="L20" s="39">
        <f>F20</f>
        <v>2.4999999999999996</v>
      </c>
      <c r="M20" s="40">
        <f>M16</f>
        <v>0.75</v>
      </c>
      <c r="N20" s="42">
        <f>M20*K20</f>
        <v>96.000000000000028</v>
      </c>
      <c r="O20" s="139">
        <f>$O$16-0.13*$O$16</f>
        <v>0.44932876051655807</v>
      </c>
      <c r="P20" s="40">
        <f>O20-(0.05*O20)</f>
        <v>0.42686232249073014</v>
      </c>
      <c r="Q20" s="41" t="str">
        <f>IF(M99&gt;25,"das wird nichts!",IF(M99&gt;16,"schlecht",IF(M99&gt;10,"befriedigend",IF(M99&gt;4.5,"gut",IF(M99&gt;0,"excellent")))))</f>
        <v>befriedigend</v>
      </c>
      <c r="R20" s="42">
        <v>1</v>
      </c>
      <c r="S20" s="43">
        <v>94</v>
      </c>
      <c r="T20" s="43">
        <v>3</v>
      </c>
      <c r="U20" s="43">
        <v>2</v>
      </c>
      <c r="V20" s="43">
        <v>1</v>
      </c>
      <c r="W20" s="2"/>
      <c r="X20" s="2"/>
      <c r="Y20" s="2"/>
      <c r="Z20" s="2"/>
      <c r="AA20" s="2"/>
      <c r="AB20" s="2"/>
      <c r="AC20" s="2"/>
      <c r="AD20" s="2"/>
    </row>
    <row r="21" spans="1:30" ht="44.25" customHeight="1" thickBot="1">
      <c r="A21" s="2"/>
      <c r="B21" s="34"/>
      <c r="C21" s="7"/>
      <c r="D21" s="49"/>
      <c r="E21" s="21" t="s">
        <v>37</v>
      </c>
      <c r="F21" s="50">
        <f>(F20*F20)*PI()/1.9</f>
        <v>10.334186360492737</v>
      </c>
      <c r="G21" s="51" t="str">
        <f>IF([1]Summary!$K$13="US","Sq Ft","m²")</f>
        <v>m²</v>
      </c>
      <c r="H21" s="7"/>
      <c r="I21" s="52" t="s">
        <v>40</v>
      </c>
      <c r="J21" s="53"/>
      <c r="K21" s="54">
        <f>(2*F22)/(1.732*(F20*F20))</f>
        <v>147.80600461893769</v>
      </c>
      <c r="L21" s="55">
        <f>+L20</f>
        <v>2.4999999999999996</v>
      </c>
      <c r="M21" s="56">
        <f>M16</f>
        <v>0.75</v>
      </c>
      <c r="N21" s="58">
        <f>M21*K21</f>
        <v>110.85450346420328</v>
      </c>
      <c r="O21" s="139">
        <f>$O$16-0.14*$O$16</f>
        <v>0.44416406211981602</v>
      </c>
      <c r="P21" s="40">
        <f>O21-(0.03*O21)</f>
        <v>0.43083914025622155</v>
      </c>
      <c r="Q21" s="57" t="str">
        <f t="shared" ref="Q21" si="1">IF(M102&gt;25,"das wird nichts!",IF(M102&gt;16,"schlecht",IF(M102&gt;10,"befriedigend",IF(M102&gt;4.5,"gut",IF(M102&gt;0,"excellent")))))</f>
        <v>befriedigend</v>
      </c>
      <c r="R21" s="58">
        <v>0.5</v>
      </c>
      <c r="S21" s="43">
        <v>97</v>
      </c>
      <c r="T21" s="43">
        <v>1</v>
      </c>
      <c r="U21" s="43">
        <v>1</v>
      </c>
      <c r="V21" s="43">
        <v>1</v>
      </c>
      <c r="W21" s="2"/>
      <c r="X21" s="2"/>
      <c r="Y21" s="2"/>
      <c r="Z21" s="2"/>
      <c r="AA21" s="2"/>
      <c r="AB21" s="2"/>
      <c r="AC21" s="2"/>
      <c r="AD21" s="2"/>
    </row>
    <row r="22" spans="1:30" ht="44.25" customHeight="1" thickBot="1">
      <c r="A22" s="2"/>
      <c r="B22" s="34"/>
      <c r="C22" s="7"/>
      <c r="D22" s="149"/>
      <c r="E22" s="59" t="s">
        <v>39</v>
      </c>
      <c r="F22" s="150">
        <f>F11*F12</f>
        <v>800</v>
      </c>
      <c r="G22" s="151" t="str">
        <f>IF([1]Summary!$K$13="US","Sq Ft","m²")</f>
        <v>m²</v>
      </c>
      <c r="H22" s="7"/>
      <c r="M22" s="60" t="s">
        <v>42</v>
      </c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25.5" customHeight="1" thickBot="1">
      <c r="A23" s="2"/>
      <c r="B23" s="34"/>
      <c r="C23" s="7"/>
      <c r="D23" s="61"/>
      <c r="E23" s="7"/>
      <c r="F23" s="62" t="s">
        <v>43</v>
      </c>
      <c r="G23" s="26" t="s">
        <v>44</v>
      </c>
      <c r="H23" s="7"/>
      <c r="I23" s="117" t="s">
        <v>98</v>
      </c>
      <c r="J23" s="63"/>
      <c r="K23" s="64"/>
      <c r="L23" s="65"/>
      <c r="N23" s="7"/>
      <c r="O23" s="7"/>
      <c r="P23" s="7"/>
      <c r="Q23" s="66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60.75" customHeight="1" thickBot="1">
      <c r="A24" s="2"/>
      <c r="B24" s="34"/>
      <c r="C24" s="7"/>
      <c r="D24" s="141" t="s">
        <v>102</v>
      </c>
      <c r="E24" s="142"/>
      <c r="F24" s="67">
        <f>$N$97</f>
        <v>0.51646983967420468</v>
      </c>
      <c r="G24" s="68" t="str">
        <f>IF($M$97&gt;25,"das wird nichts!",IF($M$97&gt;16,"schlecht",IF($M$97&gt;10,"befriedigend",IF($M$97&gt;4.5,"gut",IF($M$97&gt;0,"excellent")))))</f>
        <v>befriedigend</v>
      </c>
      <c r="H24" s="7"/>
      <c r="I24" s="69" t="s">
        <v>45</v>
      </c>
      <c r="J24" s="63"/>
      <c r="K24" s="64"/>
      <c r="L24" s="65"/>
      <c r="M24" s="7"/>
      <c r="N24" s="7"/>
      <c r="O24" s="7"/>
      <c r="P24" s="7"/>
      <c r="Q24" s="66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">
      <c r="A25" s="2"/>
      <c r="B25" s="34"/>
      <c r="C25" s="7"/>
      <c r="D25" s="34"/>
      <c r="E25" s="7"/>
      <c r="F25" s="70"/>
      <c r="G25" s="7"/>
      <c r="H25" s="70"/>
      <c r="I25" s="71" t="s">
        <v>46</v>
      </c>
      <c r="J25" s="25"/>
      <c r="L25" s="7"/>
      <c r="M25" s="7"/>
      <c r="N25" s="8"/>
      <c r="O25" s="8"/>
      <c r="P25" s="8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26.25" hidden="1" customHeight="1">
      <c r="A26" s="2"/>
      <c r="B26" s="34"/>
      <c r="C26" s="7"/>
      <c r="D26" s="34"/>
      <c r="E26" s="7"/>
      <c r="F26" s="70"/>
      <c r="G26" s="7"/>
      <c r="H26" s="70"/>
      <c r="J26" s="25"/>
      <c r="K26" s="72"/>
      <c r="L26" s="7"/>
      <c r="M26" s="7"/>
      <c r="N26" s="8"/>
      <c r="O26" s="8"/>
      <c r="P26" s="8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idden="1">
      <c r="A27" s="2"/>
      <c r="B27" s="34"/>
      <c r="F27" s="73"/>
      <c r="H27" s="73"/>
      <c r="M27" s="7"/>
      <c r="N27" s="8"/>
      <c r="O27" s="8"/>
      <c r="P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39.75" hidden="1" customHeight="1">
      <c r="A28" s="2"/>
      <c r="B28" s="34"/>
      <c r="L28" s="8"/>
      <c r="M28" s="7"/>
      <c r="N28" s="8"/>
      <c r="O28" s="8"/>
      <c r="P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51" hidden="1" customHeight="1">
      <c r="A29" s="2"/>
      <c r="B29" s="34"/>
      <c r="L29" s="8"/>
      <c r="M29" s="7"/>
      <c r="N29" s="8"/>
      <c r="O29" s="8"/>
      <c r="P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54" hidden="1" customHeight="1">
      <c r="A30" s="2"/>
      <c r="B30" s="74"/>
      <c r="K30" s="8"/>
      <c r="L30" s="75"/>
      <c r="M30" s="75"/>
      <c r="N30" s="8"/>
      <c r="O30" s="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idden="1">
      <c r="A31" s="2"/>
      <c r="B31" s="8"/>
      <c r="F31" s="8"/>
      <c r="G31" s="8"/>
      <c r="H31" s="8"/>
      <c r="J31" s="8"/>
      <c r="K31" s="8"/>
      <c r="L31" s="8"/>
      <c r="M31" s="8"/>
      <c r="N31" s="8"/>
      <c r="O31" s="8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idden="1">
      <c r="A32" s="2"/>
      <c r="B32" s="2"/>
      <c r="F32" s="20"/>
      <c r="G32" s="8"/>
      <c r="H32" s="8"/>
      <c r="I32" s="8"/>
      <c r="J32" s="8"/>
      <c r="K32" s="8"/>
      <c r="L32" s="8"/>
      <c r="M32" s="8"/>
      <c r="N32" s="8"/>
      <c r="O32" s="8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idden="1">
      <c r="A33" s="2"/>
      <c r="B33" s="2"/>
      <c r="F33" s="8"/>
      <c r="G33" s="8"/>
      <c r="H33" s="8"/>
      <c r="I33" s="8"/>
      <c r="J33" s="8"/>
      <c r="K33" s="8"/>
      <c r="L33" s="8"/>
      <c r="M33" s="8"/>
      <c r="N33" s="8"/>
      <c r="O33" s="8"/>
      <c r="P33" s="2"/>
      <c r="Q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idden="1">
      <c r="A34" s="2"/>
      <c r="B34" s="2"/>
      <c r="C34" s="2"/>
      <c r="D34" s="8"/>
      <c r="E34" s="8"/>
      <c r="F34" s="8"/>
      <c r="G34" s="8"/>
      <c r="H34" s="76"/>
      <c r="I34" s="76"/>
      <c r="J34" s="76"/>
      <c r="K34" s="76"/>
      <c r="L34" s="8"/>
      <c r="M34" s="8"/>
      <c r="N34" s="8"/>
      <c r="O34" s="8"/>
      <c r="P34" s="2"/>
      <c r="Q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idden="1">
      <c r="A35" s="2"/>
      <c r="B35" s="2"/>
      <c r="C35" s="2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2"/>
      <c r="Q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idden="1">
      <c r="A36" s="2"/>
      <c r="B36" s="2"/>
      <c r="C36" s="2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2"/>
      <c r="Q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38.25" hidden="1" customHeight="1">
      <c r="A37" s="77"/>
      <c r="B37" s="77"/>
      <c r="C37" s="77"/>
      <c r="F37" s="7"/>
      <c r="G37" s="77"/>
      <c r="L37" s="76"/>
      <c r="P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6.5" hidden="1">
      <c r="A38" s="77"/>
      <c r="B38" s="77" t="s">
        <v>47</v>
      </c>
      <c r="C38" s="78">
        <v>6</v>
      </c>
      <c r="D38" s="79"/>
      <c r="E38" s="77"/>
      <c r="F38" s="77"/>
      <c r="G38" s="77"/>
      <c r="H38" s="76"/>
      <c r="I38" s="76"/>
      <c r="J38" s="76"/>
      <c r="K38" s="76"/>
      <c r="L38" s="2"/>
      <c r="M38" s="2"/>
      <c r="N38" s="2"/>
      <c r="O38" s="2"/>
      <c r="P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5" hidden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80"/>
      <c r="L39" s="102"/>
      <c r="M39" s="121"/>
      <c r="N39" s="2"/>
      <c r="O39" s="2"/>
      <c r="P39" s="2"/>
      <c r="Q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" hidden="1">
      <c r="A40" s="77"/>
      <c r="B40" s="77"/>
      <c r="C40" s="77"/>
      <c r="D40" s="77"/>
      <c r="E40" s="77"/>
      <c r="F40" s="77"/>
      <c r="G40" s="77" t="s">
        <v>48</v>
      </c>
      <c r="H40" s="81">
        <f>(F15-112)/10</f>
        <v>-2.2000000000000002</v>
      </c>
      <c r="I40" s="77"/>
      <c r="J40" s="77"/>
      <c r="K40" s="2"/>
      <c r="L40" s="122"/>
      <c r="M40" s="123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idden="1">
      <c r="A41" s="77"/>
      <c r="B41" s="82" t="s">
        <v>49</v>
      </c>
      <c r="C41" s="83">
        <f>20*LOG(F13-F14)</f>
        <v>7.9588001734407516</v>
      </c>
      <c r="D41" s="84" t="s">
        <v>50</v>
      </c>
      <c r="G41" s="77" t="s">
        <v>51</v>
      </c>
      <c r="H41" s="81">
        <f>POWER(10,H40)</f>
        <v>6.3095734448019251E-3</v>
      </c>
      <c r="I41" s="85">
        <f>H41</f>
        <v>6.3095734448019251E-3</v>
      </c>
      <c r="J41" s="77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idden="1">
      <c r="A42" s="77"/>
      <c r="B42" s="82"/>
      <c r="C42" s="83"/>
      <c r="D42" s="86"/>
      <c r="E42" s="77"/>
      <c r="F42" s="77"/>
      <c r="G42" s="77" t="s">
        <v>52</v>
      </c>
      <c r="H42" s="81">
        <f>H41*M16</f>
        <v>4.7321800836014442E-3</v>
      </c>
      <c r="I42" s="87" t="s">
        <v>53</v>
      </c>
      <c r="J42" s="7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idden="1">
      <c r="A43" s="77"/>
      <c r="B43" s="82" t="s">
        <v>54</v>
      </c>
      <c r="C43" s="83">
        <f>F16+C41</f>
        <v>87.95880017344075</v>
      </c>
      <c r="D43" s="84" t="s">
        <v>50</v>
      </c>
      <c r="E43" s="77"/>
      <c r="F43" s="77"/>
      <c r="H43" s="76"/>
      <c r="I43" s="76" t="s">
        <v>55</v>
      </c>
      <c r="J43" s="76" t="s">
        <v>56</v>
      </c>
      <c r="K43" s="7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idden="1">
      <c r="A44" s="77"/>
      <c r="B44" s="82" t="s">
        <v>57</v>
      </c>
      <c r="C44" s="83">
        <f>C43-F15</f>
        <v>-2.0411998265592501</v>
      </c>
      <c r="D44" s="84" t="s">
        <v>50</v>
      </c>
      <c r="E44" s="77"/>
      <c r="F44" s="77"/>
      <c r="H44" s="77" t="s">
        <v>58</v>
      </c>
      <c r="I44" s="88">
        <f>$H$42*K16</f>
        <v>0.15142976267524624</v>
      </c>
      <c r="J44" s="88">
        <f>$H$42*K17</f>
        <v>0.17486115782361</v>
      </c>
      <c r="K44" s="76" t="s">
        <v>59</v>
      </c>
      <c r="L44" s="89" t="s">
        <v>53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idden="1">
      <c r="A45" s="77"/>
      <c r="B45" s="82" t="s">
        <v>60</v>
      </c>
      <c r="C45" s="90">
        <f>POWER(10,($C$44/10))</f>
        <v>0.62499999999999967</v>
      </c>
      <c r="D45" s="84" t="s">
        <v>53</v>
      </c>
      <c r="E45" s="77"/>
      <c r="F45" s="77"/>
      <c r="G45" s="77"/>
      <c r="H45" s="77"/>
      <c r="I45" s="88">
        <f>$H$42*K18</f>
        <v>0.30285952535049249</v>
      </c>
      <c r="J45" s="88">
        <f>$H$42*K19</f>
        <v>0.34972231564722001</v>
      </c>
      <c r="K45" s="76" t="s">
        <v>61</v>
      </c>
      <c r="L45" s="89" t="s">
        <v>53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idden="1">
      <c r="A46" s="77"/>
      <c r="B46" s="82" t="s">
        <v>62</v>
      </c>
      <c r="C46" s="78">
        <f>IF(C45&lt;0.75,0.75,IF(C45&lt;1.5,1.5,IF(C45&lt;3,3,IF(C45&lt;6,6,IF(C45&lt;15,15,IF(C45&lt;30,30,IF(C45&lt;60,60)))))))</f>
        <v>0.75</v>
      </c>
      <c r="D46" s="84" t="s">
        <v>53</v>
      </c>
      <c r="E46" s="77"/>
      <c r="F46" s="77"/>
      <c r="G46" s="77"/>
      <c r="H46" s="77"/>
      <c r="I46" s="88">
        <f>$H$42*K20</f>
        <v>0.60571905070098497</v>
      </c>
      <c r="J46" s="88">
        <f>$H$42*K21</f>
        <v>0.69944463129444001</v>
      </c>
      <c r="K46" s="76" t="s">
        <v>63</v>
      </c>
      <c r="L46" s="89" t="s">
        <v>53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idden="1">
      <c r="A47" s="77"/>
      <c r="B47" s="77"/>
      <c r="C47" s="77"/>
      <c r="D47" s="77"/>
      <c r="E47" s="77"/>
      <c r="F47" s="77"/>
      <c r="G47" s="77"/>
      <c r="H47" s="77"/>
      <c r="I47" s="88"/>
      <c r="J47" s="88"/>
      <c r="K47" s="7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idden="1">
      <c r="A48" s="77"/>
      <c r="B48" s="77"/>
      <c r="C48" s="77"/>
      <c r="D48" s="77"/>
      <c r="E48" s="77"/>
      <c r="F48" s="77"/>
      <c r="H48" s="77" t="s">
        <v>64</v>
      </c>
      <c r="I48" s="118">
        <f>10*LOG(I44/(POWER(10,-12)))</f>
        <v>111.80211241711605</v>
      </c>
      <c r="J48" s="91">
        <f>10*LOG(J44/(POWER(10,-12)))</f>
        <v>112.42693349694258</v>
      </c>
      <c r="K48" s="76" t="s">
        <v>59</v>
      </c>
      <c r="L48" s="89" t="s">
        <v>19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idden="1">
      <c r="A49" s="77"/>
      <c r="B49" s="77"/>
      <c r="C49" s="77"/>
      <c r="D49" s="77"/>
      <c r="E49" s="77"/>
      <c r="F49" s="77"/>
      <c r="G49" s="77"/>
      <c r="H49" s="77"/>
      <c r="I49" s="91">
        <f t="shared" ref="I49:J50" si="2">10*LOG(I45/(POWER(10,-12)))</f>
        <v>114.81241237375586</v>
      </c>
      <c r="J49" s="91">
        <f t="shared" si="2"/>
        <v>115.43723345358239</v>
      </c>
      <c r="K49" s="76" t="s">
        <v>61</v>
      </c>
      <c r="L49" s="89" t="s">
        <v>19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idden="1">
      <c r="A50" s="2"/>
      <c r="B50" s="92" t="s">
        <v>65</v>
      </c>
      <c r="C50" s="77"/>
      <c r="D50" s="77"/>
      <c r="E50" s="2"/>
      <c r="F50" s="2"/>
      <c r="G50" s="2"/>
      <c r="H50" s="2"/>
      <c r="I50" s="91">
        <f t="shared" si="2"/>
        <v>117.82271233039567</v>
      </c>
      <c r="J50" s="91">
        <f t="shared" si="2"/>
        <v>118.44753341022221</v>
      </c>
      <c r="K50" s="76" t="s">
        <v>63</v>
      </c>
      <c r="L50" s="89" t="s">
        <v>19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idden="1">
      <c r="A51" s="2"/>
      <c r="B51" s="77"/>
      <c r="C51" s="77"/>
      <c r="D51" s="7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idden="1">
      <c r="A52" s="2"/>
      <c r="B52" s="77" t="s">
        <v>66</v>
      </c>
      <c r="C52" s="120">
        <f>0.057*SQRT((F11*F12*F13)/F18)</f>
        <v>2.2800000000000002</v>
      </c>
      <c r="D52" s="84" t="s">
        <v>67</v>
      </c>
      <c r="E52" s="2"/>
      <c r="F52" s="2"/>
      <c r="G52" s="2"/>
      <c r="H52" s="77"/>
      <c r="I52" s="77"/>
      <c r="J52" s="77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5" hidden="1">
      <c r="A53" s="2"/>
      <c r="B53" s="77"/>
      <c r="C53" s="77"/>
      <c r="D53" s="77"/>
      <c r="E53" s="2"/>
      <c r="F53" s="2"/>
      <c r="G53" s="2"/>
      <c r="H53" s="77" t="s">
        <v>68</v>
      </c>
      <c r="I53" s="88">
        <f>$F$16-3</f>
        <v>77</v>
      </c>
      <c r="J53" s="88">
        <f>$F$16-2</f>
        <v>78</v>
      </c>
      <c r="L53" s="89" t="s">
        <v>19</v>
      </c>
      <c r="M53" s="93" t="s">
        <v>69</v>
      </c>
      <c r="N53" s="94">
        <f t="shared" ref="N53:N55" si="3">I48-(ABS(10*LOG(I65)))</f>
        <v>85.583428570300896</v>
      </c>
      <c r="O53" s="94"/>
      <c r="P53" s="94">
        <f>J48-(ABS(10*LOG(J65)))</f>
        <v>85.583428570300896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idden="1">
      <c r="A54" s="2"/>
      <c r="B54" s="77"/>
      <c r="C54" s="77"/>
      <c r="D54" s="77"/>
      <c r="E54" s="2"/>
      <c r="F54" s="2"/>
      <c r="G54" s="2"/>
      <c r="H54" s="77"/>
      <c r="I54" s="88">
        <f>$F$16-1</f>
        <v>79</v>
      </c>
      <c r="J54" s="88">
        <f>$F$16</f>
        <v>80</v>
      </c>
      <c r="L54" s="89" t="s">
        <v>19</v>
      </c>
      <c r="M54" s="2"/>
      <c r="N54" s="94">
        <f t="shared" si="3"/>
        <v>85.583428570300896</v>
      </c>
      <c r="O54" s="94"/>
      <c r="P54" s="94">
        <f>J49-(ABS(10*LOG(J66)))</f>
        <v>85.583428570300896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idden="1">
      <c r="A55" s="2"/>
      <c r="B55" s="77"/>
      <c r="C55" s="77"/>
      <c r="D55" s="77"/>
      <c r="E55" s="2"/>
      <c r="F55" s="2"/>
      <c r="G55" s="2"/>
      <c r="H55" s="77"/>
      <c r="I55" s="88">
        <f>$F$16+1</f>
        <v>81</v>
      </c>
      <c r="J55" s="88">
        <f>$F$16+1.5</f>
        <v>81.5</v>
      </c>
      <c r="L55" s="89" t="s">
        <v>19</v>
      </c>
      <c r="M55" s="2"/>
      <c r="N55" s="94">
        <f t="shared" si="3"/>
        <v>85.583428570300896</v>
      </c>
      <c r="O55" s="94"/>
      <c r="P55" s="94">
        <f>J50-(ABS(10*LOG(J67)))</f>
        <v>85.583428570300896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idden="1">
      <c r="A56" s="2"/>
      <c r="C56" s="92" t="s">
        <v>70</v>
      </c>
      <c r="D56" s="77"/>
      <c r="E56" s="2"/>
      <c r="F56" s="2"/>
      <c r="G56" s="2"/>
      <c r="H56" s="77"/>
      <c r="I56" s="77"/>
      <c r="J56" s="7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idden="1">
      <c r="A57" s="2"/>
      <c r="B57" s="77"/>
      <c r="C57" s="77"/>
      <c r="D57" s="77"/>
      <c r="E57" s="2"/>
      <c r="F57" s="2"/>
      <c r="G57" s="2"/>
      <c r="H57" s="77" t="s">
        <v>71</v>
      </c>
      <c r="I57" s="95">
        <f>$C$38/K16</f>
        <v>0.18749999999999994</v>
      </c>
      <c r="J57" s="95">
        <f>$C$38/K17</f>
        <v>0.16237499999999994</v>
      </c>
      <c r="K57" s="76" t="s">
        <v>59</v>
      </c>
      <c r="L57" s="89" t="s">
        <v>19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idden="1">
      <c r="A58" s="2"/>
      <c r="B58" s="77" t="s">
        <v>72</v>
      </c>
      <c r="C58" s="120">
        <f>F13-F14</f>
        <v>2.5</v>
      </c>
      <c r="D58" s="77"/>
      <c r="E58" s="2"/>
      <c r="F58" s="2"/>
      <c r="G58" s="2"/>
      <c r="I58" s="95">
        <f>$C$38/K18</f>
        <v>9.3749999999999972E-2</v>
      </c>
      <c r="J58" s="95">
        <f>$C$38/K19</f>
        <v>8.1187499999999968E-2</v>
      </c>
      <c r="K58" s="76" t="s">
        <v>61</v>
      </c>
      <c r="L58" s="89" t="s">
        <v>19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idden="1">
      <c r="A59" s="2"/>
      <c r="B59" s="77" t="s">
        <v>73</v>
      </c>
      <c r="C59" s="77">
        <f>C58*C58</f>
        <v>6.25</v>
      </c>
      <c r="D59" s="77"/>
      <c r="E59" s="2"/>
      <c r="F59" s="2"/>
      <c r="G59" s="2"/>
      <c r="I59" s="95">
        <f>$C$38/K20</f>
        <v>4.6874999999999986E-2</v>
      </c>
      <c r="J59" s="95">
        <f>$C$38/K21</f>
        <v>4.0593749999999984E-2</v>
      </c>
      <c r="K59" s="76" t="s">
        <v>63</v>
      </c>
      <c r="L59" s="89" t="s">
        <v>19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idden="1">
      <c r="A60" s="2"/>
      <c r="B60" s="77"/>
      <c r="C60" s="77"/>
      <c r="D60" s="77"/>
      <c r="E60" s="2"/>
      <c r="F60" s="2"/>
      <c r="G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idden="1">
      <c r="A61" s="2"/>
      <c r="B61" s="77" t="s">
        <v>74</v>
      </c>
      <c r="C61" s="88">
        <f>(C52/C58)*(C52/C58)</f>
        <v>0.83174400000000026</v>
      </c>
      <c r="D61" s="77"/>
      <c r="E61" s="2"/>
      <c r="F61" s="2"/>
      <c r="G61" s="2"/>
      <c r="H61" s="77" t="s">
        <v>75</v>
      </c>
      <c r="I61" s="96">
        <f>4*3.14*(($F$13-$F$14)*($F$13-$F$14))</f>
        <v>78.5</v>
      </c>
      <c r="J61" s="77"/>
      <c r="L61" s="97" t="s">
        <v>76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idden="1">
      <c r="A62" s="2"/>
      <c r="B62" s="77"/>
      <c r="C62" s="77"/>
      <c r="D62" s="77"/>
      <c r="E62" s="2"/>
      <c r="F62" s="2"/>
      <c r="G62" s="2"/>
      <c r="H62" s="77"/>
      <c r="I62" s="77"/>
      <c r="J62" s="77"/>
      <c r="L62" s="97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idden="1">
      <c r="A63" s="2"/>
      <c r="B63" s="77" t="s">
        <v>77</v>
      </c>
      <c r="C63" s="2"/>
      <c r="D63" s="2"/>
      <c r="E63" s="2"/>
      <c r="F63" s="2"/>
      <c r="G63" s="2"/>
      <c r="H63" s="77"/>
      <c r="I63" s="77"/>
      <c r="J63" s="77"/>
      <c r="K63" s="2"/>
      <c r="L63" s="97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idden="1">
      <c r="A64" s="2"/>
      <c r="B64" s="2"/>
      <c r="C64" s="2"/>
      <c r="D64" s="2"/>
      <c r="E64" s="2"/>
      <c r="F64" s="2"/>
      <c r="G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idden="1">
      <c r="A65" s="2"/>
      <c r="B65" s="2"/>
      <c r="C65" s="2"/>
      <c r="D65" s="2"/>
      <c r="E65" s="2"/>
      <c r="F65" s="2"/>
      <c r="G65" s="2"/>
      <c r="H65" s="77" t="s">
        <v>78</v>
      </c>
      <c r="I65" s="98">
        <f>I57/$I$61</f>
        <v>2.3885350318471332E-3</v>
      </c>
      <c r="J65" s="98">
        <f>J57/$I$61</f>
        <v>2.0684713375796171E-3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idden="1">
      <c r="A66" s="2"/>
      <c r="B66" s="89" t="s">
        <v>79</v>
      </c>
      <c r="C66" s="2"/>
      <c r="D66" s="2"/>
      <c r="E66" s="2"/>
      <c r="F66" s="2"/>
      <c r="G66" s="2"/>
      <c r="I66" s="98">
        <f t="shared" ref="I66:J67" si="4">I58/$I$61</f>
        <v>1.1942675159235666E-3</v>
      </c>
      <c r="J66" s="98">
        <f t="shared" si="4"/>
        <v>1.0342356687898086E-3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idden="1">
      <c r="A67" s="2"/>
      <c r="B67" s="2"/>
      <c r="C67" s="2"/>
      <c r="D67" s="2"/>
      <c r="E67" s="2"/>
      <c r="F67" s="2"/>
      <c r="G67" s="2"/>
      <c r="I67" s="98">
        <f t="shared" si="4"/>
        <v>5.9713375796178331E-4</v>
      </c>
      <c r="J67" s="98">
        <f t="shared" si="4"/>
        <v>5.1711783439490429E-4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idden="1">
      <c r="A68" s="2"/>
      <c r="B68" s="2"/>
      <c r="C68" s="2"/>
      <c r="D68" s="2"/>
      <c r="E68" s="2"/>
      <c r="F68" s="2"/>
      <c r="G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idden="1">
      <c r="A69" s="2"/>
      <c r="B69" s="2"/>
      <c r="C69" s="2"/>
      <c r="D69" s="2"/>
      <c r="E69" s="2"/>
      <c r="F69" s="2"/>
      <c r="G69" s="2"/>
      <c r="H69" s="77" t="s">
        <v>80</v>
      </c>
      <c r="I69" s="88">
        <f>LOG(I65)</f>
        <v>-2.6218683846815152</v>
      </c>
      <c r="J69" s="88">
        <f>LOG(J65)</f>
        <v>-2.6843504926641684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idden="1">
      <c r="A70" s="2"/>
      <c r="B70" s="2"/>
      <c r="C70" s="2"/>
      <c r="D70" s="2"/>
      <c r="E70" s="2"/>
      <c r="F70" s="2"/>
      <c r="G70" s="2"/>
      <c r="I70" s="88">
        <f t="shared" ref="I70:J71" si="5">LOG(I66)</f>
        <v>-2.922898380345496</v>
      </c>
      <c r="J70" s="88">
        <f t="shared" si="5"/>
        <v>-2.9853804883281496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idden="1">
      <c r="A71" s="2"/>
      <c r="C71" s="2"/>
      <c r="D71" s="2"/>
      <c r="E71" s="2"/>
      <c r="F71" s="2"/>
      <c r="G71" s="2"/>
      <c r="I71" s="88">
        <f t="shared" si="5"/>
        <v>-3.2239283760094772</v>
      </c>
      <c r="J71" s="88">
        <f t="shared" si="5"/>
        <v>-3.2864104839921309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idden="1">
      <c r="A72" s="2"/>
      <c r="B72" s="2"/>
      <c r="C72" s="2"/>
      <c r="D72" s="2"/>
      <c r="E72" s="2"/>
      <c r="F72" s="2"/>
      <c r="G72" s="2"/>
      <c r="I72" s="99"/>
      <c r="J72" s="99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idden="1">
      <c r="A73" s="2"/>
      <c r="B73" s="2"/>
      <c r="C73" s="2"/>
      <c r="D73" s="2"/>
      <c r="E73" s="2"/>
      <c r="F73" s="2"/>
      <c r="G73" s="2"/>
      <c r="H73" s="77" t="s">
        <v>81</v>
      </c>
      <c r="I73" s="88">
        <f>ABS(I69)</f>
        <v>2.6218683846815152</v>
      </c>
      <c r="J73" s="88">
        <f>ABS(J69)</f>
        <v>2.6843504926641684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idden="1">
      <c r="A74" s="2"/>
      <c r="B74" s="2"/>
      <c r="C74" s="2"/>
      <c r="D74" s="2"/>
      <c r="E74" s="2"/>
      <c r="F74" s="2"/>
      <c r="G74" s="2"/>
      <c r="I74" s="88">
        <f t="shared" ref="I74:J75" si="6">ABS(I70)</f>
        <v>2.922898380345496</v>
      </c>
      <c r="J74" s="88">
        <f t="shared" si="6"/>
        <v>2.9853804883281496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idden="1">
      <c r="A75" s="2"/>
      <c r="B75" s="2"/>
      <c r="C75" s="2"/>
      <c r="D75" s="2"/>
      <c r="E75" s="2"/>
      <c r="F75" s="2"/>
      <c r="G75" s="2"/>
      <c r="H75" s="77"/>
      <c r="I75" s="88">
        <f t="shared" si="6"/>
        <v>3.2239283760094772</v>
      </c>
      <c r="J75" s="88">
        <f t="shared" si="6"/>
        <v>3.2864104839921309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idden="1">
      <c r="A76" s="2"/>
      <c r="B76" s="2"/>
      <c r="C76" s="2"/>
      <c r="D76" s="2"/>
      <c r="E76" s="2"/>
      <c r="F76" s="2"/>
      <c r="G76" s="2"/>
      <c r="H76" s="77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idden="1">
      <c r="A77" s="2"/>
      <c r="B77" s="2"/>
      <c r="C77" s="2"/>
      <c r="D77" s="2"/>
      <c r="E77" s="2"/>
      <c r="F77" s="2"/>
      <c r="G77" s="2"/>
      <c r="H77" s="7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5" hidden="1">
      <c r="A78" s="2"/>
      <c r="B78" s="2"/>
      <c r="C78" s="2"/>
      <c r="D78" s="2"/>
      <c r="E78" s="2"/>
      <c r="F78" s="2"/>
      <c r="G78" s="2"/>
      <c r="H78" s="77" t="s">
        <v>82</v>
      </c>
      <c r="I78" s="118">
        <f t="shared" ref="I78:J80" si="7">I53+(10*I73)</f>
        <v>103.21868384681515</v>
      </c>
      <c r="J78" s="91">
        <f t="shared" si="7"/>
        <v>104.84350492664169</v>
      </c>
      <c r="K78" s="76" t="s">
        <v>59</v>
      </c>
      <c r="L78" s="89" t="s">
        <v>19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idden="1">
      <c r="A79" s="2"/>
      <c r="B79" s="2"/>
      <c r="C79" s="2"/>
      <c r="D79" s="2"/>
      <c r="E79" s="2"/>
      <c r="F79" s="2"/>
      <c r="G79" s="2"/>
      <c r="H79" s="2"/>
      <c r="I79" s="91">
        <f t="shared" si="7"/>
        <v>108.22898380345495</v>
      </c>
      <c r="J79" s="91">
        <f t="shared" si="7"/>
        <v>109.8538048832815</v>
      </c>
      <c r="K79" s="76" t="s">
        <v>61</v>
      </c>
      <c r="L79" s="89" t="s">
        <v>19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idden="1">
      <c r="A80" s="2"/>
      <c r="B80" s="2"/>
      <c r="C80" s="2"/>
      <c r="D80" s="2"/>
      <c r="E80" s="2"/>
      <c r="F80" s="2"/>
      <c r="G80" s="2"/>
      <c r="H80" s="2"/>
      <c r="I80" s="91">
        <f t="shared" si="7"/>
        <v>113.23928376009476</v>
      </c>
      <c r="J80" s="91">
        <f t="shared" si="7"/>
        <v>114.36410483992131</v>
      </c>
      <c r="K80" s="76" t="s">
        <v>63</v>
      </c>
      <c r="L80" s="89" t="s">
        <v>19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idden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idden="1">
      <c r="A82" s="2"/>
      <c r="B82" s="2"/>
      <c r="C82" s="2"/>
      <c r="D82" s="2"/>
      <c r="E82" s="2"/>
      <c r="F82" s="2"/>
      <c r="G82" s="2"/>
      <c r="H82" s="2"/>
      <c r="I82" s="2"/>
      <c r="J82" s="2"/>
      <c r="K82" s="76" t="s">
        <v>43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5" hidden="1">
      <c r="A83" s="2"/>
      <c r="B83" s="2"/>
      <c r="C83" s="2"/>
      <c r="D83" s="2"/>
      <c r="E83" s="2"/>
      <c r="F83" s="2"/>
      <c r="G83" s="2"/>
      <c r="H83" s="89" t="s">
        <v>83</v>
      </c>
      <c r="I83" s="100">
        <f>0.625*((I48-I78)/I78)*$F$18</f>
        <v>0.10394712771962142</v>
      </c>
      <c r="J83" s="100">
        <f>0.625*((J48-J78)/J78)*$F$18</f>
        <v>9.0413666726505498E-2</v>
      </c>
      <c r="K83" s="101">
        <f>1-(0.46*LOG10(I83*100))</f>
        <v>0.53226625305789477</v>
      </c>
      <c r="L83" s="101">
        <f>1-(0.46*LOG10(J83*100))</f>
        <v>0.56013232208934616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5" hidden="1">
      <c r="A84" s="2"/>
      <c r="B84" s="2"/>
      <c r="C84" s="2"/>
      <c r="D84" s="2"/>
      <c r="E84" s="2"/>
      <c r="F84" s="2"/>
      <c r="G84" s="2"/>
      <c r="H84" s="2"/>
      <c r="I84" s="100">
        <f>0.625*((I49-I79)/I79)*$F$18</f>
        <v>7.6035877116065437E-2</v>
      </c>
      <c r="J84" s="100">
        <f>0.625*((J49-J79)/J79)*$F$18</f>
        <v>6.3532489569128145E-2</v>
      </c>
      <c r="K84" s="101">
        <f t="shared" ref="K84:L85" si="8">1-(0.46*LOG10(I84*100))</f>
        <v>0.59473146233744356</v>
      </c>
      <c r="L84" s="101">
        <f t="shared" si="8"/>
        <v>0.63062189803834667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5" hidden="1">
      <c r="A85" s="2"/>
      <c r="B85" s="2"/>
      <c r="C85" s="2"/>
      <c r="D85" s="2"/>
      <c r="E85" s="2"/>
      <c r="F85" s="2"/>
      <c r="G85" s="2"/>
      <c r="H85" s="2"/>
      <c r="I85" s="100">
        <f>0.625*((I50-I80)/I80)*$F$18</f>
        <v>5.0594506805730285E-2</v>
      </c>
      <c r="J85" s="100">
        <f>0.625*((J50-J80)/J80)*$F$18</f>
        <v>4.46318862025872E-2</v>
      </c>
      <c r="K85" s="101">
        <f t="shared" si="8"/>
        <v>0.67611245128518282</v>
      </c>
      <c r="L85" s="101">
        <f t="shared" si="8"/>
        <v>0.70116318909951003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idden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5" hidden="1">
      <c r="A87" s="2"/>
      <c r="B87" s="2"/>
      <c r="C87" s="2"/>
      <c r="D87" s="2"/>
      <c r="E87" s="2"/>
      <c r="F87" s="2"/>
      <c r="G87" s="2"/>
      <c r="H87" s="102" t="s">
        <v>84</v>
      </c>
      <c r="I87" s="137">
        <f>0.625*C61*F18/100</f>
        <v>1.0396800000000005E-2</v>
      </c>
      <c r="J87" s="138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5" hidden="1">
      <c r="A88" s="2"/>
      <c r="B88" s="2"/>
      <c r="C88" s="2"/>
      <c r="D88" s="2"/>
      <c r="E88" s="2"/>
      <c r="F88" s="2"/>
      <c r="G88" s="2"/>
      <c r="H88" s="103" t="s">
        <v>43</v>
      </c>
      <c r="I88" s="104">
        <f>1-(0.46*LOG10(I87*100))</f>
        <v>0.99222614275415111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idden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idden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idden="1">
      <c r="A91" s="2"/>
      <c r="B91" s="2"/>
      <c r="C91" s="2"/>
      <c r="D91" s="2"/>
      <c r="E91" s="2"/>
      <c r="F91" s="2"/>
      <c r="G91" s="2"/>
      <c r="H91" s="89" t="s">
        <v>69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idden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idden="1">
      <c r="A93" s="2"/>
      <c r="B93" s="2"/>
      <c r="C93" s="105"/>
      <c r="D93" s="2"/>
      <c r="E93" s="2"/>
      <c r="F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idden="1">
      <c r="A94" s="2"/>
      <c r="B94" s="2"/>
      <c r="C94" s="106"/>
      <c r="D94" s="2"/>
      <c r="E94" s="2"/>
      <c r="F94" s="89" t="s">
        <v>22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idden="1">
      <c r="A95" s="2"/>
      <c r="B95" s="89"/>
      <c r="C95" s="105"/>
      <c r="D95" s="105" t="s">
        <v>85</v>
      </c>
      <c r="E95" s="2"/>
      <c r="F95" s="89" t="s">
        <v>86</v>
      </c>
      <c r="I95" s="125" t="s">
        <v>99</v>
      </c>
      <c r="J95" s="126"/>
      <c r="K95" s="126"/>
      <c r="L95" s="119"/>
      <c r="M95" s="127"/>
      <c r="N95" s="119"/>
      <c r="O95" s="119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5" hidden="1">
      <c r="A96" s="2"/>
      <c r="B96" s="2"/>
      <c r="C96" s="105"/>
      <c r="D96" s="105">
        <v>20</v>
      </c>
      <c r="E96" s="106">
        <v>12</v>
      </c>
      <c r="F96" s="106">
        <v>1.5</v>
      </c>
      <c r="I96" s="127" t="s">
        <v>87</v>
      </c>
      <c r="J96" s="128" t="s">
        <v>88</v>
      </c>
      <c r="K96" s="129" t="s">
        <v>89</v>
      </c>
      <c r="L96" s="130" t="s">
        <v>90</v>
      </c>
      <c r="M96" s="131" t="s">
        <v>91</v>
      </c>
      <c r="N96" s="132" t="s">
        <v>43</v>
      </c>
      <c r="O96" s="132"/>
      <c r="Q96" s="107" t="s">
        <v>92</v>
      </c>
      <c r="R96" s="108" t="s">
        <v>93</v>
      </c>
      <c r="S96" s="8" t="s">
        <v>94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5" hidden="1">
      <c r="A97" s="2"/>
      <c r="B97" s="2"/>
      <c r="C97" s="105"/>
      <c r="D97" s="105"/>
      <c r="E97" s="106">
        <v>10</v>
      </c>
      <c r="F97" s="106">
        <v>2</v>
      </c>
      <c r="H97" s="101">
        <f>IF($F$20&gt;12,0.1*J16,IF($F$20&gt;10,0.15*J16,IF($F$20&gt;9,0.2*J16,IF($F$20&gt;8,0.25*J16,IF($F$20&gt;7,0.38*J16,IF($F$20&gt;6,0.6*J16,IF($F$20&gt;5,J16,IF($F$20&gt;4,J16,IF($F$20&gt;3,J16,IF($F$20&gt;2.5,J16,IF($F$20&gt;2,J16,J16)))))))))))</f>
        <v>0</v>
      </c>
      <c r="I97" s="133">
        <f>0.1*K16</f>
        <v>3.2000000000000011</v>
      </c>
      <c r="J97" s="134">
        <f>(K16-I97)/I97</f>
        <v>8.9999999999999982</v>
      </c>
      <c r="K97" s="135">
        <f>J97*$F$18*0.625</f>
        <v>11.249999999999998</v>
      </c>
      <c r="L97" s="125">
        <v>1</v>
      </c>
      <c r="M97" s="135">
        <f t="shared" ref="M97:M102" si="9">K97*L97</f>
        <v>11.249999999999998</v>
      </c>
      <c r="N97" s="136">
        <f t="shared" ref="N97:N102" si="10">1-(0.46*LOG10(M97))</f>
        <v>0.51646983967420468</v>
      </c>
      <c r="O97" s="136"/>
      <c r="Q97" s="113">
        <f>($F$18*$F$18*$F$20*$F$20*K16)/(S97*R97)</f>
        <v>4.1666666666666664E-2</v>
      </c>
      <c r="R97" s="111">
        <f>6</f>
        <v>6</v>
      </c>
      <c r="S97" s="114">
        <f>$F$11*$F$12*$F$13</f>
        <v>3200</v>
      </c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5" hidden="1">
      <c r="A98" s="2"/>
      <c r="B98" s="2"/>
      <c r="C98" s="2"/>
      <c r="D98" s="2"/>
      <c r="E98" s="106">
        <v>9</v>
      </c>
      <c r="F98" s="106">
        <v>2.5</v>
      </c>
      <c r="I98" s="124">
        <f>0.1*K18</f>
        <v>6.4000000000000021</v>
      </c>
      <c r="J98" s="109">
        <f>(K18-I98)/I98</f>
        <v>8.9999999999999982</v>
      </c>
      <c r="K98" s="110">
        <f>J98*$F$18*0.625</f>
        <v>11.249999999999998</v>
      </c>
      <c r="L98" s="111">
        <v>1</v>
      </c>
      <c r="M98" s="110">
        <f t="shared" si="9"/>
        <v>11.249999999999998</v>
      </c>
      <c r="N98" s="112">
        <f t="shared" si="10"/>
        <v>0.51646983967420468</v>
      </c>
      <c r="O98" s="112"/>
      <c r="Q98" s="113">
        <f>($F$18*$F$18*$F$20*$F$20*K18)/(S98*R98)</f>
        <v>8.3333333333333329E-2</v>
      </c>
      <c r="R98" s="111">
        <f>6</f>
        <v>6</v>
      </c>
      <c r="S98" s="114">
        <f t="shared" ref="S98:S102" si="11">$F$11*$F$12*$F$13</f>
        <v>3200</v>
      </c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5" hidden="1">
      <c r="A99" s="2"/>
      <c r="B99" s="89"/>
      <c r="C99" s="105"/>
      <c r="D99" s="105"/>
      <c r="E99" s="106">
        <v>8</v>
      </c>
      <c r="F99" s="106">
        <v>3</v>
      </c>
      <c r="I99" s="124">
        <f>0.1*K20</f>
        <v>12.800000000000004</v>
      </c>
      <c r="J99" s="109">
        <f>(K20-I99)/I99</f>
        <v>8.9999999999999982</v>
      </c>
      <c r="K99" s="110">
        <f>J99*$F$18*0.625</f>
        <v>11.249999999999998</v>
      </c>
      <c r="L99" s="111">
        <v>1</v>
      </c>
      <c r="M99" s="110">
        <f t="shared" si="9"/>
        <v>11.249999999999998</v>
      </c>
      <c r="N99" s="112">
        <f t="shared" si="10"/>
        <v>0.51646983967420468</v>
      </c>
      <c r="O99" s="112"/>
      <c r="Q99" s="113">
        <f>($F$18*$F$18*$F$20*$F$20*K20)/(S99*R99)</f>
        <v>0.16666666666666666</v>
      </c>
      <c r="R99" s="111">
        <f>6</f>
        <v>6</v>
      </c>
      <c r="S99" s="114">
        <f t="shared" si="11"/>
        <v>3200</v>
      </c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5" hidden="1">
      <c r="A100" s="2"/>
      <c r="B100" s="2"/>
      <c r="C100" s="105"/>
      <c r="D100" s="105"/>
      <c r="E100" s="106">
        <v>7</v>
      </c>
      <c r="F100" s="106">
        <v>3.5</v>
      </c>
      <c r="I100" s="124">
        <f>0.1*K17</f>
        <v>3.6951501154734423</v>
      </c>
      <c r="J100" s="109">
        <f>(K17-I100)/I100</f>
        <v>8.9999999999999982</v>
      </c>
      <c r="K100" s="110">
        <f>J100*$F$18*0.625</f>
        <v>11.249999999999998</v>
      </c>
      <c r="L100" s="111">
        <v>1</v>
      </c>
      <c r="M100" s="110">
        <f t="shared" si="9"/>
        <v>11.249999999999998</v>
      </c>
      <c r="N100" s="112">
        <f t="shared" si="10"/>
        <v>0.51646983967420468</v>
      </c>
      <c r="O100" s="112"/>
      <c r="Q100" s="113">
        <f>($F$18*$F$18*$F$20*$F$20*K17)/(S100*R100)</f>
        <v>4.8113933795227104E-2</v>
      </c>
      <c r="R100" s="111">
        <f>6</f>
        <v>6</v>
      </c>
      <c r="S100" s="114">
        <f t="shared" si="11"/>
        <v>3200</v>
      </c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5" hidden="1">
      <c r="A101" s="2"/>
      <c r="B101" s="2"/>
      <c r="C101" s="105"/>
      <c r="D101" s="105"/>
      <c r="E101" s="106">
        <v>6</v>
      </c>
      <c r="F101" s="106">
        <v>4.2</v>
      </c>
      <c r="G101" s="115"/>
      <c r="H101" s="2"/>
      <c r="I101" s="124">
        <f>0.1*K19</f>
        <v>7.3903002309468846</v>
      </c>
      <c r="J101" s="109">
        <f>(K19-I101)/I101</f>
        <v>8.9999999999999982</v>
      </c>
      <c r="K101" s="110">
        <f>J101*$F$18*0.625</f>
        <v>11.249999999999998</v>
      </c>
      <c r="L101" s="111">
        <v>1</v>
      </c>
      <c r="M101" s="110">
        <f t="shared" si="9"/>
        <v>11.249999999999998</v>
      </c>
      <c r="N101" s="112">
        <f t="shared" si="10"/>
        <v>0.51646983967420468</v>
      </c>
      <c r="O101" s="112"/>
      <c r="Q101" s="113">
        <f>($F$18*$F$18*$F$20*$F$20*K19)/(S101*R101)</f>
        <v>9.6227867590454208E-2</v>
      </c>
      <c r="R101" s="111">
        <f>6</f>
        <v>6</v>
      </c>
      <c r="S101" s="114">
        <f t="shared" si="11"/>
        <v>3200</v>
      </c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5" hidden="1">
      <c r="A102" s="2"/>
      <c r="B102" s="2"/>
      <c r="C102" s="2"/>
      <c r="D102" s="2"/>
      <c r="E102" s="106">
        <v>5</v>
      </c>
      <c r="F102" s="106">
        <v>5</v>
      </c>
      <c r="G102" s="115"/>
      <c r="H102" s="2"/>
      <c r="I102" s="124">
        <f t="shared" ref="I102" si="12">0.1*K21</f>
        <v>14.780600461893769</v>
      </c>
      <c r="J102" s="109">
        <f t="shared" ref="J102" si="13">(K21-I102)/I102</f>
        <v>8.9999999999999982</v>
      </c>
      <c r="K102" s="110">
        <f>J102*$F$18*0.625</f>
        <v>11.249999999999998</v>
      </c>
      <c r="L102" s="111">
        <v>1</v>
      </c>
      <c r="M102" s="110">
        <f t="shared" si="9"/>
        <v>11.249999999999998</v>
      </c>
      <c r="N102" s="112">
        <f t="shared" si="10"/>
        <v>0.51646983967420468</v>
      </c>
      <c r="O102" s="112"/>
      <c r="Q102" s="113">
        <f>($F$18*$F$18*$F$20*$F$20*K21)/(S102*R102)</f>
        <v>0.19245573518090842</v>
      </c>
      <c r="R102" s="111">
        <f>6</f>
        <v>6</v>
      </c>
      <c r="S102" s="114">
        <f t="shared" si="11"/>
        <v>3200</v>
      </c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idden="1">
      <c r="A103" s="2"/>
      <c r="B103" s="2"/>
      <c r="C103" s="2"/>
      <c r="D103" s="2"/>
      <c r="E103" s="106">
        <v>4</v>
      </c>
      <c r="F103" s="106">
        <v>6</v>
      </c>
      <c r="G103" s="115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idden="1">
      <c r="A104" s="2"/>
      <c r="B104" s="2"/>
      <c r="C104" s="2"/>
      <c r="D104" s="2"/>
      <c r="E104" s="106">
        <v>3</v>
      </c>
      <c r="F104" s="106">
        <v>7</v>
      </c>
      <c r="G104" s="115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idden="1">
      <c r="A105" s="2"/>
      <c r="B105" s="2"/>
      <c r="C105" s="2"/>
      <c r="D105" s="2"/>
      <c r="E105" s="106">
        <v>2.5</v>
      </c>
      <c r="F105" s="106">
        <v>8</v>
      </c>
      <c r="G105" s="115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idden="1">
      <c r="A106" s="2"/>
      <c r="B106" s="2"/>
      <c r="C106" s="2"/>
      <c r="D106" s="2"/>
      <c r="E106" s="106">
        <v>2</v>
      </c>
      <c r="F106" s="106">
        <v>9</v>
      </c>
      <c r="G106" s="116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idden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idden="1">
      <c r="A108" s="2"/>
      <c r="B108" s="2"/>
      <c r="C108" s="2"/>
      <c r="D108" s="2"/>
      <c r="E108" s="2"/>
      <c r="F108" s="105">
        <f>F24</f>
        <v>0.51646983967420468</v>
      </c>
      <c r="G108" s="105">
        <f>F108-T108</f>
        <v>0.51646983967420468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>
      <c r="A110" s="2"/>
      <c r="B110" s="2"/>
      <c r="C110" s="2"/>
      <c r="D110" s="2"/>
      <c r="E110" s="2"/>
      <c r="F110" s="2"/>
      <c r="G110" s="2"/>
      <c r="H110" s="2"/>
      <c r="W110" s="2"/>
      <c r="X110" s="2"/>
      <c r="Y110" s="2"/>
      <c r="Z110" s="2"/>
      <c r="AA110" s="2"/>
      <c r="AB110" s="2"/>
      <c r="AC110" s="2"/>
      <c r="AD110" s="2"/>
    </row>
    <row r="111" spans="1:30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>
      <c r="A114" s="2"/>
      <c r="B114" s="2"/>
      <c r="C114" s="2"/>
      <c r="D114" s="2"/>
      <c r="E114" s="2"/>
      <c r="F114" s="2"/>
      <c r="G114" s="2"/>
      <c r="H114" s="2"/>
      <c r="W114" s="2"/>
      <c r="X114" s="2"/>
      <c r="Y114" s="2"/>
      <c r="Z114" s="2"/>
      <c r="AA114" s="2"/>
      <c r="AB114" s="2"/>
      <c r="AC114" s="2"/>
      <c r="AD114" s="2"/>
    </row>
    <row r="115" spans="1:30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</sheetData>
  <sheetProtection password="94A2" sheet="1" objects="1" scenarios="1" selectLockedCells="1"/>
  <protectedRanges>
    <protectedRange sqref="C5:G7" name="Bereich2"/>
    <protectedRange sqref="F18 F11:F17" name="Bearbeitung"/>
  </protectedRanges>
  <mergeCells count="2">
    <mergeCell ref="D18:E18"/>
    <mergeCell ref="D24:E24"/>
  </mergeCells>
  <conditionalFormatting sqref="G24 Q16:Q21">
    <cfRule type="cellIs" dxfId="4" priority="1" stopIfTrue="1" operator="equal">
      <formula>"Excellent"</formula>
    </cfRule>
    <cfRule type="cellIs" dxfId="3" priority="2" stopIfTrue="1" operator="equal">
      <formula>"gut"</formula>
    </cfRule>
    <cfRule type="cellIs" dxfId="2" priority="3" stopIfTrue="1" operator="equal">
      <formula>"befriedigend"</formula>
    </cfRule>
    <cfRule type="cellIs" dxfId="1" priority="4" stopIfTrue="1" operator="equal">
      <formula>"schlecht"</formula>
    </cfRule>
    <cfRule type="cellIs" dxfId="0" priority="5" stopIfTrue="1" operator="equal">
      <formula>"das wird nichts!"</formula>
    </cfRule>
  </conditionalFormatting>
  <printOptions gridLines="1"/>
  <pageMargins left="0.74803149606299213" right="0.74803149606299213" top="0.98425196850393704" bottom="0.98425196850393704" header="0.51181102362204722" footer="0.51181102362204722"/>
  <pageSetup scale="70" orientation="landscape" horizontalDpi="120" verticalDpi="12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/>
  </sheetViews>
  <sheetFormatPr baseColWidth="10" defaultRowHeight="12.75"/>
  <cols>
    <col min="1" max="1" width="14.42578125" bestFit="1" customWidth="1"/>
    <col min="2" max="2" width="70" bestFit="1" customWidth="1"/>
    <col min="3" max="3" width="17.5703125" bestFit="1" customWidth="1"/>
    <col min="4" max="4" width="19.7109375" bestFit="1" customWidth="1"/>
  </cols>
  <sheetData>
    <row r="1" spans="1:4">
      <c r="A1" t="s">
        <v>0</v>
      </c>
      <c r="B1" t="s">
        <v>1</v>
      </c>
    </row>
    <row r="3" spans="1:4">
      <c r="A3" t="s">
        <v>2</v>
      </c>
      <c r="B3" t="s">
        <v>3</v>
      </c>
      <c r="C3" t="s">
        <v>4</v>
      </c>
      <c r="D3" t="s">
        <v>5</v>
      </c>
    </row>
    <row r="4" spans="1:4">
      <c r="A4" t="s">
        <v>6</v>
      </c>
      <c r="B4" s="1" t="s">
        <v>7</v>
      </c>
      <c r="C4" t="s">
        <v>8</v>
      </c>
      <c r="D4" t="s">
        <v>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Decken LSP Rechner MG V1.03</vt:lpstr>
      <vt:lpstr>Tabelle1</vt:lpstr>
      <vt:lpstr>Tabelle2</vt:lpstr>
      <vt:lpstr>Tabelle3</vt:lpstr>
      <vt:lpstr>'Decken LSP Rechner MG V1.03'!Druckbereich</vt:lpstr>
    </vt:vector>
  </TitlesOfParts>
  <Company>Bosch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Merget</dc:creator>
  <cp:lastModifiedBy>Richard Merget</cp:lastModifiedBy>
  <cp:lastPrinted>2014-05-19T13:52:27Z</cp:lastPrinted>
  <dcterms:created xsi:type="dcterms:W3CDTF">2014-05-15T07:56:51Z</dcterms:created>
  <dcterms:modified xsi:type="dcterms:W3CDTF">2014-05-19T13:54:16Z</dcterms:modified>
</cp:coreProperties>
</file>